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8" windowWidth="15180" windowHeight="7452" activeTab="2"/>
  </bookViews>
  <sheets>
    <sheet name="Portada" sheetId="1" r:id="rId1"/>
    <sheet name="Recalculo de depreciacion" sheetId="2" r:id="rId2"/>
    <sheet name="Resumen" sheetId="3" r:id="rId3"/>
    <sheet name="Hoja3" sheetId="4" state="hidden" r:id="rId4"/>
  </sheets>
  <definedNames>
    <definedName name="_xlfn.IFERROR" hidden="1">#NAME?</definedName>
    <definedName name="Activos">#REF!</definedName>
    <definedName name="AS2DocOpenMode" hidden="1">"AS2DocumentEdit"</definedName>
    <definedName name="Balance_final">#REF!</definedName>
    <definedName name="Balance_preliminar">#REF!</definedName>
    <definedName name="Costo">'Recalculo de depreciacion'!$J$6:$J$152</definedName>
    <definedName name="Credito">#REF!</definedName>
    <definedName name="Debito">#REF!</definedName>
    <definedName name="Estado_de_resultados">#REF!</definedName>
    <definedName name="Mapeo">#REF!</definedName>
    <definedName name="Mes_anterior">#REF!</definedName>
    <definedName name="Pasivos_Patrimonio">#REF!</definedName>
    <definedName name="Plan_de_cuentas">#REF!</definedName>
    <definedName name="Preliminar">#REF!</definedName>
  </definedNames>
  <calcPr fullCalcOnLoad="1"/>
  <pivotCaches>
    <pivotCache cacheId="1" r:id="rId5"/>
  </pivotCaches>
</workbook>
</file>

<file path=xl/comments2.xml><?xml version="1.0" encoding="utf-8"?>
<comments xmlns="http://schemas.openxmlformats.org/spreadsheetml/2006/main">
  <authors>
    <author>NB-EDGAR</author>
  </authors>
  <commentList>
    <comment ref="F76" authorId="0">
      <text>
        <r>
          <rPr>
            <b/>
            <sz val="9"/>
            <rFont val="Tahoma"/>
            <family val="2"/>
          </rPr>
          <t>NB-EDGAR:</t>
        </r>
        <r>
          <rPr>
            <sz val="9"/>
            <rFont val="Tahoma"/>
            <family val="2"/>
          </rPr>
          <t xml:space="preserve">
Vida útil obtenida del avalúo</t>
        </r>
      </text>
    </comment>
    <comment ref="J117" authorId="0">
      <text>
        <r>
          <rPr>
            <b/>
            <sz val="9"/>
            <rFont val="Tahoma"/>
            <family val="2"/>
          </rPr>
          <t>NB-EDGAR:</t>
        </r>
        <r>
          <rPr>
            <sz val="9"/>
            <rFont val="Tahoma"/>
            <family val="2"/>
          </rPr>
          <t xml:space="preserve">
Corresponden a muebles que no están en la compañía y que fueron activados por petición de Estevan Troya</t>
        </r>
      </text>
    </comment>
  </commentList>
</comments>
</file>

<file path=xl/sharedStrings.xml><?xml version="1.0" encoding="utf-8"?>
<sst xmlns="http://schemas.openxmlformats.org/spreadsheetml/2006/main" count="332" uniqueCount="180">
  <si>
    <t>Saldo Inicial</t>
  </si>
  <si>
    <t>Diferencia</t>
  </si>
  <si>
    <t>Fecha de adquisición</t>
  </si>
  <si>
    <t>Total</t>
  </si>
  <si>
    <t>Contenido</t>
  </si>
  <si>
    <t>Código</t>
  </si>
  <si>
    <t>5-2</t>
  </si>
  <si>
    <t>11/11/2013</t>
  </si>
  <si>
    <t>14/11/2013</t>
  </si>
  <si>
    <t>12562834-REPUBLICA DEL C-PT-</t>
  </si>
  <si>
    <t>D</t>
  </si>
  <si>
    <t xml:space="preserve">SERVICIOS CENTRALES                     </t>
  </si>
  <si>
    <t>CONFIYTECA 3275-3382-2222-2223</t>
  </si>
  <si>
    <t>12540099-REPUBLICA DEL C-PT-</t>
  </si>
  <si>
    <t>SANTIAGO CUEVA FACTURA A</t>
  </si>
  <si>
    <t>12540074-REPUBLICA DEL C-PT-</t>
  </si>
  <si>
    <t>MACH 1805-1806</t>
  </si>
  <si>
    <t>05/11/2013</t>
  </si>
  <si>
    <t>12498948-REPUBLICA DEL C-PT-</t>
  </si>
  <si>
    <t>ROBERTO SIZA SIMBA;A 304</t>
  </si>
  <si>
    <t>Descripción</t>
  </si>
  <si>
    <t>Vida útil (meses)</t>
  </si>
  <si>
    <t>dep acum (meses)</t>
  </si>
  <si>
    <t>% depreciacion</t>
  </si>
  <si>
    <t>Costo</t>
  </si>
  <si>
    <t>Dep acumulada</t>
  </si>
  <si>
    <t>Saldo neto</t>
  </si>
  <si>
    <t>MAQUINARIA Y EQUIPO</t>
  </si>
  <si>
    <t>VEHICULOS</t>
  </si>
  <si>
    <t>Moto Traxx TX-150</t>
  </si>
  <si>
    <t>INSTALACIONES</t>
  </si>
  <si>
    <t>Compra de cubiertas</t>
  </si>
  <si>
    <t>Toyota Hybrid</t>
  </si>
  <si>
    <t>Compra de adoquines</t>
  </si>
  <si>
    <t>Retroexcavadora</t>
  </si>
  <si>
    <t>MUEBLES Y ENSERES</t>
  </si>
  <si>
    <t>Compra de 12 mesas</t>
  </si>
  <si>
    <t>Looker de 6 puertas empleados fabrica</t>
  </si>
  <si>
    <t>Volqueta Fac 4264</t>
  </si>
  <si>
    <t>ADOQUINADORA 1</t>
  </si>
  <si>
    <t>ADOQUINADORA 2</t>
  </si>
  <si>
    <t>BALDOSERA</t>
  </si>
  <si>
    <t>BICELADORA</t>
  </si>
  <si>
    <t>BOMBA FIRMAN ( 5.5 HP )</t>
  </si>
  <si>
    <t>BOMBA SUMERGIBLE</t>
  </si>
  <si>
    <t>BUSARDA 1</t>
  </si>
  <si>
    <t>BUSARDA 2</t>
  </si>
  <si>
    <t>BUSARDA 3</t>
  </si>
  <si>
    <t>BUSARDA 4</t>
  </si>
  <si>
    <t>CARGADOR DE BATERIAS</t>
  </si>
  <si>
    <t>COMPRESOR CAMPBELL</t>
  </si>
  <si>
    <t>COMPRESOR DE AIRE</t>
  </si>
  <si>
    <t>CORTADORA 1</t>
  </si>
  <si>
    <t>CORTADORA 2</t>
  </si>
  <si>
    <t>CORTADORA 3</t>
  </si>
  <si>
    <t>CORTADORA 4</t>
  </si>
  <si>
    <t>CORTADORA 5</t>
  </si>
  <si>
    <t>CORTADORA 6</t>
  </si>
  <si>
    <t>CORTADORA 7</t>
  </si>
  <si>
    <t>CORTADORA DE HILO</t>
  </si>
  <si>
    <t xml:space="preserve">CORTADORA TELAR </t>
  </si>
  <si>
    <t>ESCUADRADORAS 1</t>
  </si>
  <si>
    <t>ESCUADRADORAS 2</t>
  </si>
  <si>
    <t>ESCUADRADORAS 3</t>
  </si>
  <si>
    <t>ESCUADRADORAS 4</t>
  </si>
  <si>
    <t>ESCUADRADORAS 5</t>
  </si>
  <si>
    <t>GENERADORA DE CORRIENTE</t>
  </si>
  <si>
    <t>MULTIPLE 1</t>
  </si>
  <si>
    <t>MULTIPLE 2</t>
  </si>
  <si>
    <t>MULTIPLE 3</t>
  </si>
  <si>
    <t>MULTIPLE 4</t>
  </si>
  <si>
    <t>OLLA ENVEJECEDORA</t>
  </si>
  <si>
    <t>PERFILADORA</t>
  </si>
  <si>
    <t>PROCESADORA DE LODO</t>
  </si>
  <si>
    <t>PULIDORA</t>
  </si>
  <si>
    <t>RECTIFICADORA</t>
  </si>
  <si>
    <t>SOLDADORA AUTOGENA</t>
  </si>
  <si>
    <t>SOLDADORA DE SEGMENTOS (DIAMANTE-ACERO)</t>
  </si>
  <si>
    <t>SOLDADORA ELECTRICAS</t>
  </si>
  <si>
    <t>SOLDADORA MILLERMATIC 210</t>
  </si>
  <si>
    <t xml:space="preserve">TALADRO   </t>
  </si>
  <si>
    <t>TALADRO PEDESTAL</t>
  </si>
  <si>
    <t>TECLES 1.6 TON.</t>
  </si>
  <si>
    <t>TRANSFORMADOR 220-440 KVA. INTRA</t>
  </si>
  <si>
    <t>TRITURADORA</t>
  </si>
  <si>
    <t>Minicargadora Bobcat S560 con pallets Forks</t>
  </si>
  <si>
    <t>EQUIPO DE OFICINA</t>
  </si>
  <si>
    <t>Escaner e Impresora FS-1035MFP</t>
  </si>
  <si>
    <t>EQUIPO DE COMPUTACION</t>
  </si>
  <si>
    <t>Portatil HP DV6T-7000</t>
  </si>
  <si>
    <t>Equipo de Computacion HACER</t>
  </si>
  <si>
    <t xml:space="preserve">Equipo CPU de Mesa </t>
  </si>
  <si>
    <t xml:space="preserve">Mahindra Modelo Pik Up Mattzhs </t>
  </si>
  <si>
    <t xml:space="preserve">Equipo de Computacion PORTATIL HP DV67-7000 PROYECTOS     </t>
  </si>
  <si>
    <t>Desentalladora launch twc-401</t>
  </si>
  <si>
    <t>Plataforma telexcopia Autopropulsado</t>
  </si>
  <si>
    <t>CAMION HINO</t>
  </si>
  <si>
    <t>CARGADORA CAT</t>
  </si>
  <si>
    <t>MONTACARGAS R 30</t>
  </si>
  <si>
    <t>Mini cargadora 650 con pall forks</t>
  </si>
  <si>
    <t>Equipo de Computacion SAMSUNG i7 NIF 86 OSMEL RUIZ</t>
  </si>
  <si>
    <t>CAMION  CHASIS 9533MB2TXDR257381 DIESEL</t>
  </si>
  <si>
    <t>Equipo de Oficina SILLA GERENTE ESPALDA MALLA MASTERCAR</t>
  </si>
  <si>
    <t xml:space="preserve">COMEDOR IMPLEMENTOS VARIOS </t>
  </si>
  <si>
    <t>COMP. ESCRITORIO INTEL CORE 3 MINI CASE ALTEK</t>
  </si>
  <si>
    <t xml:space="preserve">MUEBLES PARA NUEVAS OFICINAS </t>
  </si>
  <si>
    <t xml:space="preserve">IMPRESORA LASET SET HP 100 COLOR </t>
  </si>
  <si>
    <t xml:space="preserve">SILLAS </t>
  </si>
  <si>
    <t>HP ENVY TOUCH -SAMART 23 D015LA</t>
  </si>
  <si>
    <t>PANCHA REVERSIBLE STONE- DUMPER PORTATIL STONE-RODILLO MULTIQUIP</t>
  </si>
  <si>
    <t xml:space="preserve">HP DESING T120 PRINTER -PLOTTER PROYECTOS </t>
  </si>
  <si>
    <t>BUGGY STONE MOD.SB.402008002 Y 402008002</t>
  </si>
  <si>
    <t>Compra de Lockers para PROYECTOS</t>
  </si>
  <si>
    <t>Equipos de computación y proyector</t>
  </si>
  <si>
    <t>SANSUMG TV PLASMA 51"  PUERTO USB Y GAFAS</t>
  </si>
  <si>
    <t>Caterpillar Model 420e Retroexcabadora cargadora  fc 4116</t>
  </si>
  <si>
    <t>COMPUTADORA HACER  FAC 2662</t>
  </si>
  <si>
    <t>Sansum TV PLASMA 51 IMPRESORA EPSON</t>
  </si>
  <si>
    <t>Camara IP ZK5330 Exteriores fac 15751</t>
  </si>
  <si>
    <t>MARTILO HIDRAÚLICO</t>
  </si>
  <si>
    <t>Vehículos FORD EXPLORER 3.5 4X4 2014 NEGRO</t>
  </si>
  <si>
    <t>BUSARDA AUTOMÁTICA</t>
  </si>
  <si>
    <t>COMPUTADORA CORE 13 VENTAS / PORTATIL TOSHIBA U940</t>
  </si>
  <si>
    <t>ESCAVADORA IMPORTADA</t>
  </si>
  <si>
    <t>PORTATIL TOSHIBA U940</t>
  </si>
  <si>
    <t>RANURADOR MARMOL</t>
  </si>
  <si>
    <t>RAYADORA</t>
  </si>
  <si>
    <t>SOLDADORA DE DISCOS</t>
  </si>
  <si>
    <t>TELEVISOR PLASMA SAMSUNG 51" GERENCIA</t>
  </si>
  <si>
    <t>PORTATIL SONY VAIO 15A17CL/B 15,5 TOUCH (DISEÑOS)</t>
  </si>
  <si>
    <t>FIAT STRADA WORKING CE TM 1.4 2P 4X2</t>
  </si>
  <si>
    <t>CASE COMBO (TECLADO-PARLANTES E IMPRESORA EPSON (VENTAS)</t>
  </si>
  <si>
    <t>CASE INTEL CORE I7-4770(DISEÑO)</t>
  </si>
  <si>
    <t>MOTOCICLETA BAJAJ PULSAR 200 NS MENSAJERIA</t>
  </si>
  <si>
    <t>HINO FM1JRUA AC 8,0 BLANCO AÑO 2014</t>
  </si>
  <si>
    <t>MUEBLES DE OFICINA ATS</t>
  </si>
  <si>
    <t>COPIADOR RICOH MPC5000 IMPRES ESCANE</t>
  </si>
  <si>
    <t>PLATAFORMA HINO FM1JRUA AC 8,0 BLANCO AÑO 2014</t>
  </si>
  <si>
    <t>CASE COMBO INTEL CORE (EVELIN TENESACA)</t>
  </si>
  <si>
    <t>PLANCHA COMPACTADORA WACKER</t>
  </si>
  <si>
    <t>COMPU HP AIO E1-1500 BG ADQUISICIO</t>
  </si>
  <si>
    <t>Camara TECO 8 canales IP 720P Patios</t>
  </si>
  <si>
    <t>PUNTO DE COMBUSTIBLE PLANTA</t>
  </si>
  <si>
    <t>Segun Balance</t>
  </si>
  <si>
    <t>Gasto del periodo</t>
  </si>
  <si>
    <t>Total general</t>
  </si>
  <si>
    <t>Valor residual</t>
  </si>
  <si>
    <t>Dias transcurridos</t>
  </si>
  <si>
    <t>Fecha estimada de baja</t>
  </si>
  <si>
    <t>-</t>
  </si>
  <si>
    <t>Costo2</t>
  </si>
  <si>
    <t>Valor residual3</t>
  </si>
  <si>
    <t>Dep acumulada4</t>
  </si>
  <si>
    <t>EMPRESA MODELO S.A.</t>
  </si>
  <si>
    <t xml:space="preserve">Plantilla para calculo de depreciacion </t>
  </si>
  <si>
    <t>Según libros</t>
  </si>
  <si>
    <t>Ubicación</t>
  </si>
  <si>
    <t>Suma de Gasto del periodo</t>
  </si>
  <si>
    <t>Oficina</t>
  </si>
  <si>
    <t>Bodega</t>
  </si>
  <si>
    <t>Planta</t>
  </si>
  <si>
    <t>(en blanco)</t>
  </si>
  <si>
    <t>Resumen de activos</t>
  </si>
  <si>
    <t>Segun listado</t>
  </si>
  <si>
    <t>Grupo</t>
  </si>
  <si>
    <t>Dep acumulada3</t>
  </si>
  <si>
    <t>Saldo neto4</t>
  </si>
  <si>
    <t>-5</t>
  </si>
  <si>
    <t>Costo6</t>
  </si>
  <si>
    <t>Dep acumulada7</t>
  </si>
  <si>
    <t>Saldo neto8</t>
  </si>
  <si>
    <t>Politica capitalizacion</t>
  </si>
  <si>
    <t>Al 31 de diciembre del 2016</t>
  </si>
  <si>
    <t>EJERCICIO FISCAL 2017</t>
  </si>
  <si>
    <t xml:space="preserve">PREPARADO POR: EDGAR OLEAS </t>
  </si>
  <si>
    <t>SI USTED REQUIERE ALGO ADICIONAL PUEDE COMUNICARSE CON NOSOTROS AL 026017934 O</t>
  </si>
  <si>
    <t xml:space="preserve"> AL CELULAR 0998708353 CON EDGAR PEREZ</t>
  </si>
  <si>
    <t>eperez@mach.com.ec</t>
  </si>
  <si>
    <t>CÁLCULO DE DEPRECIACIÓN</t>
  </si>
  <si>
    <t>eoleas@mach.com.ec</t>
  </si>
</sst>
</file>

<file path=xl/styles.xml><?xml version="1.0" encoding="utf-8"?>
<styleSheet xmlns="http://schemas.openxmlformats.org/spreadsheetml/2006/main">
  <numFmts count="5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&quot;$&quot;\ * #,##0_ ;_ &quot;$&quot;\ * \-#,##0_ ;_ &quot;$&quot;\ * &quot;-&quot;_ ;_ @_ "/>
    <numFmt numFmtId="181" formatCode="_ &quot;$&quot;\ * #,##0.00_ ;_ &quot;$&quot;\ * \-#,##0.00_ ;_ &quot;$&quot;\ * &quot;-&quot;??_ ;_ @_ "/>
    <numFmt numFmtId="182" formatCode="0%_);\(0%\)"/>
    <numFmt numFmtId="183" formatCode="[$-C0A]dd\-mmm\-yy;@"/>
    <numFmt numFmtId="184" formatCode="0_);\(0\)"/>
    <numFmt numFmtId="185" formatCode="[$-C0A]d\-mmm\-yy;@"/>
    <numFmt numFmtId="186" formatCode="_ * #,##0.0_ ;_ * \-#,##0.0_ ;_ * &quot;-&quot;??_ ;_ @_ "/>
    <numFmt numFmtId="187" formatCode="_ * #,##0_ ;_ * \-#,##0_ ;_ * &quot;-&quot;??_ ;_ @_ "/>
    <numFmt numFmtId="188" formatCode="#,##0.0_);\(#,##0.0\)"/>
    <numFmt numFmtId="189" formatCode="dd\-mmm\-yyyy"/>
    <numFmt numFmtId="190" formatCode="_(* #,##0.0_);_(* \(#,##0.0\);_(* &quot;-&quot;_);_(@_)"/>
    <numFmt numFmtId="191" formatCode="_(* #,##0.00_);_(* \(#,##0.00\);_(* &quot;-&quot;_);_(@_)"/>
    <numFmt numFmtId="192" formatCode="_(* #,##0.0_);_(* \(#,##0.0\);_(* &quot;-&quot;??_);_(@_)"/>
    <numFmt numFmtId="193" formatCode="_(* #,##0_);_(* \(#,##0\);_(* &quot;-&quot;??_);_(@_)"/>
    <numFmt numFmtId="194" formatCode="_-* #,##0\ _€_-;\-* #,##0\ _€_-;_-* &quot;-&quot;??\ _€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0000"/>
    <numFmt numFmtId="200" formatCode="#,##0.000_);\(#,##0.000\)"/>
    <numFmt numFmtId="201" formatCode="00000000"/>
    <numFmt numFmtId="202" formatCode="_-* #,##0.00_-;\-* #,##0.00_-;_-* &quot;-&quot;??_-;_-@_-"/>
    <numFmt numFmtId="203" formatCode="d\-m;@"/>
    <numFmt numFmtId="204" formatCode="[$-C0A]d\ &quot;de&quot;\ mmmm\ &quot;de&quot;\ yyyy;@"/>
    <numFmt numFmtId="205" formatCode="_(* #,##0.0_);_(* \(#,##0.0\);_(* &quot;-&quot;?_);_(@_)"/>
    <numFmt numFmtId="206" formatCode="_(* #,##0_);_(* \(#,##0\);_(* &quot;-&quot;?_);_(@_)"/>
    <numFmt numFmtId="207" formatCode="_-* #,##0.00_-;_-* #,##0.00\-;_-* &quot;-&quot;??_-;_-@_-"/>
    <numFmt numFmtId="208" formatCode="[$-409]mmm\-yy;@"/>
    <numFmt numFmtId="209" formatCode="d\-mmm\-yyyy"/>
    <numFmt numFmtId="210" formatCode="#,##0.0"/>
    <numFmt numFmtId="211" formatCode="_(* #,##0.000_);_(* \(#,##0.000\);_(* &quot;-&quot;??_);_(@_)"/>
    <numFmt numFmtId="212" formatCode="dd\-mm\-yy;@"/>
    <numFmt numFmtId="213" formatCode="#,##0_ ;\-#,##0\ "/>
    <numFmt numFmtId="214" formatCode="_(* #,##0.00_);_(* \(#,##0.00\);_(* &quot;-&quot;?_);_(@_)"/>
  </numFmts>
  <fonts count="49">
    <font>
      <sz val="10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24"/>
      <name val="Eni 1"/>
      <family val="0"/>
    </font>
    <font>
      <sz val="10"/>
      <name val="Franklin Gothic Medium"/>
      <family val="2"/>
    </font>
    <font>
      <sz val="20"/>
      <name val="Franklin Gothic Medium"/>
      <family val="2"/>
    </font>
    <font>
      <sz val="22"/>
      <name val="Franklin Gothic Medium"/>
      <family val="2"/>
    </font>
    <font>
      <b/>
      <sz val="20"/>
      <name val="Franklin Gothic Medium"/>
      <family val="2"/>
    </font>
    <font>
      <sz val="26"/>
      <name val="Arial"/>
      <family val="2"/>
    </font>
    <font>
      <sz val="26"/>
      <name val="Franklin Gothic Medium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9" tint="0.39998000860214233"/>
      <name val="Arial"/>
      <family val="2"/>
    </font>
    <font>
      <u val="single"/>
      <sz val="12"/>
      <color theme="10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8" fillId="12" borderId="2" applyNumberFormat="0" applyAlignment="0" applyProtection="0"/>
    <xf numFmtId="0" fontId="8" fillId="12" borderId="2" applyNumberFormat="0" applyAlignment="0" applyProtection="0"/>
    <xf numFmtId="0" fontId="8" fillId="12" borderId="2" applyNumberFormat="0" applyAlignment="0" applyProtection="0"/>
    <xf numFmtId="0" fontId="8" fillId="12" borderId="2" applyNumberFormat="0" applyAlignment="0" applyProtection="0"/>
    <xf numFmtId="0" fontId="8" fillId="12" borderId="2" applyNumberFormat="0" applyAlignment="0" applyProtection="0"/>
    <xf numFmtId="0" fontId="8" fillId="12" borderId="2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4" fontId="12" fillId="6" borderId="5">
      <alignment horizontal="center" vertical="center" wrapText="1"/>
      <protection/>
    </xf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4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4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4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43" fillId="0" borderId="0">
      <alignment/>
      <protection/>
    </xf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127">
    <xf numFmtId="37" fontId="0" fillId="0" borderId="0" xfId="0" applyAlignment="1">
      <alignment/>
    </xf>
    <xf numFmtId="0" fontId="0" fillId="18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37" fontId="23" fillId="0" borderId="11" xfId="257" applyNumberFormat="1" applyBorder="1" applyAlignment="1" applyProtection="1">
      <alignment/>
      <protection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0" fillId="0" borderId="0" xfId="286" applyNumberFormat="1" applyFont="1">
      <alignment/>
      <protection/>
    </xf>
    <xf numFmtId="4" fontId="0" fillId="0" borderId="0" xfId="286" applyNumberFormat="1" applyFont="1">
      <alignment/>
      <protection/>
    </xf>
    <xf numFmtId="37" fontId="0" fillId="0" borderId="0" xfId="286" applyNumberFormat="1" applyFont="1" applyFill="1">
      <alignment/>
      <protection/>
    </xf>
    <xf numFmtId="4" fontId="0" fillId="0" borderId="0" xfId="286" applyNumberFormat="1" applyFont="1" applyFill="1">
      <alignment/>
      <protection/>
    </xf>
    <xf numFmtId="37" fontId="12" fillId="0" borderId="0" xfId="286" applyNumberFormat="1" applyFont="1">
      <alignment/>
      <protection/>
    </xf>
    <xf numFmtId="207" fontId="12" fillId="0" borderId="0" xfId="286" applyNumberFormat="1" applyFont="1">
      <alignment/>
      <protection/>
    </xf>
    <xf numFmtId="4" fontId="12" fillId="0" borderId="0" xfId="286" applyNumberFormat="1" applyFont="1">
      <alignment/>
      <protection/>
    </xf>
    <xf numFmtId="37" fontId="12" fillId="0" borderId="0" xfId="286" applyNumberFormat="1" applyFont="1" applyFill="1">
      <alignment/>
      <protection/>
    </xf>
    <xf numFmtId="4" fontId="12" fillId="0" borderId="0" xfId="286" applyNumberFormat="1" applyFont="1" applyFill="1">
      <alignment/>
      <protection/>
    </xf>
    <xf numFmtId="208" fontId="12" fillId="0" borderId="0" xfId="286" applyNumberFormat="1" applyFont="1" applyAlignment="1">
      <alignment horizontal="left"/>
      <protection/>
    </xf>
    <xf numFmtId="0" fontId="0" fillId="0" borderId="0" xfId="286" applyNumberFormat="1" applyFont="1" applyFill="1">
      <alignment/>
      <protection/>
    </xf>
    <xf numFmtId="185" fontId="0" fillId="0" borderId="0" xfId="286" applyNumberFormat="1" applyFont="1" applyFill="1" applyAlignment="1">
      <alignment horizontal="center"/>
      <protection/>
    </xf>
    <xf numFmtId="39" fontId="0" fillId="0" borderId="0" xfId="286" applyNumberFormat="1" applyFont="1" applyFill="1">
      <alignment/>
      <protection/>
    </xf>
    <xf numFmtId="0" fontId="0" fillId="0" borderId="0" xfId="286" applyNumberFormat="1" applyFont="1">
      <alignment/>
      <protection/>
    </xf>
    <xf numFmtId="185" fontId="0" fillId="0" borderId="0" xfId="286" applyNumberFormat="1" applyFont="1" applyBorder="1" applyAlignment="1">
      <alignment/>
      <protection/>
    </xf>
    <xf numFmtId="185" fontId="0" fillId="0" borderId="0" xfId="286" applyNumberFormat="1" applyFont="1" applyFill="1" applyBorder="1" applyAlignment="1">
      <alignment/>
      <protection/>
    </xf>
    <xf numFmtId="185" fontId="12" fillId="0" borderId="0" xfId="286" applyNumberFormat="1" applyFont="1" applyFill="1" applyBorder="1" applyAlignment="1">
      <alignment horizontal="center" vertical="center" wrapText="1"/>
      <protection/>
    </xf>
    <xf numFmtId="0" fontId="12" fillId="0" borderId="0" xfId="286" applyNumberFormat="1" applyFont="1" applyFill="1" applyBorder="1" applyAlignment="1">
      <alignment horizontal="center" vertical="center" wrapText="1"/>
      <protection/>
    </xf>
    <xf numFmtId="39" fontId="12" fillId="0" borderId="0" xfId="286" applyNumberFormat="1" applyFont="1" applyFill="1" applyBorder="1" applyAlignment="1">
      <alignment horizontal="center" vertical="center" wrapText="1"/>
      <protection/>
    </xf>
    <xf numFmtId="3" fontId="0" fillId="0" borderId="0" xfId="286" applyNumberFormat="1" applyFont="1">
      <alignment/>
      <protection/>
    </xf>
    <xf numFmtId="37" fontId="0" fillId="0" borderId="0" xfId="286" applyNumberFormat="1" applyFont="1" applyFill="1" applyAlignment="1">
      <alignment horizontal="center"/>
      <protection/>
    </xf>
    <xf numFmtId="3" fontId="0" fillId="0" borderId="0" xfId="286" applyNumberFormat="1" applyFont="1" applyFill="1">
      <alignment/>
      <protection/>
    </xf>
    <xf numFmtId="3" fontId="0" fillId="0" borderId="0" xfId="286" applyNumberFormat="1" applyFont="1" applyAlignment="1">
      <alignment vertical="center"/>
      <protection/>
    </xf>
    <xf numFmtId="0" fontId="12" fillId="0" borderId="0" xfId="286" applyNumberFormat="1" applyFont="1" applyFill="1" applyBorder="1">
      <alignment/>
      <protection/>
    </xf>
    <xf numFmtId="209" fontId="12" fillId="0" borderId="0" xfId="286" applyNumberFormat="1" applyFont="1" applyFill="1" applyBorder="1">
      <alignment/>
      <protection/>
    </xf>
    <xf numFmtId="187" fontId="12" fillId="0" borderId="0" xfId="286" applyNumberFormat="1" applyFont="1" applyFill="1" applyBorder="1">
      <alignment/>
      <protection/>
    </xf>
    <xf numFmtId="3" fontId="12" fillId="0" borderId="0" xfId="286" applyNumberFormat="1" applyFont="1" applyFill="1">
      <alignment/>
      <protection/>
    </xf>
    <xf numFmtId="187" fontId="0" fillId="0" borderId="0" xfId="286" applyNumberFormat="1" applyFont="1" applyFill="1" applyBorder="1">
      <alignment/>
      <protection/>
    </xf>
    <xf numFmtId="4" fontId="0" fillId="0" borderId="0" xfId="286" applyNumberFormat="1" applyFont="1" applyAlignment="1">
      <alignment horizontal="center"/>
      <protection/>
    </xf>
    <xf numFmtId="4" fontId="12" fillId="0" borderId="0" xfId="286" applyNumberFormat="1" applyFont="1" applyFill="1" applyAlignment="1">
      <alignment horizontal="center"/>
      <protection/>
    </xf>
    <xf numFmtId="37" fontId="44" fillId="0" borderId="0" xfId="0" applyNumberFormat="1" applyFont="1" applyFill="1" applyBorder="1" applyAlignment="1">
      <alignment/>
    </xf>
    <xf numFmtId="0" fontId="45" fillId="19" borderId="0" xfId="286" applyNumberFormat="1" applyFont="1" applyFill="1" applyBorder="1" applyAlignment="1">
      <alignment horizontal="center" vertical="center" wrapText="1"/>
      <protection/>
    </xf>
    <xf numFmtId="0" fontId="12" fillId="0" borderId="0" xfId="286" applyNumberFormat="1" applyFont="1" applyFill="1" applyBorder="1" applyAlignment="1">
      <alignment vertical="center" wrapText="1"/>
      <protection/>
    </xf>
    <xf numFmtId="185" fontId="12" fillId="0" borderId="0" xfId="286" applyNumberFormat="1" applyFont="1" applyFill="1" applyBorder="1" applyAlignment="1">
      <alignment/>
      <protection/>
    </xf>
    <xf numFmtId="39" fontId="45" fillId="19" borderId="0" xfId="286" applyNumberFormat="1" applyFont="1" applyFill="1" applyBorder="1" applyAlignment="1">
      <alignment horizontal="center" vertical="center" wrapText="1"/>
      <protection/>
    </xf>
    <xf numFmtId="9" fontId="0" fillId="0" borderId="0" xfId="315" applyFont="1" applyAlignment="1">
      <alignment/>
    </xf>
    <xf numFmtId="3" fontId="0" fillId="0" borderId="0" xfId="286" applyNumberFormat="1" applyFont="1" applyFill="1" applyAlignment="1">
      <alignment horizontal="right"/>
      <protection/>
    </xf>
    <xf numFmtId="43" fontId="0" fillId="0" borderId="0" xfId="269" applyFont="1" applyFill="1" applyAlignment="1">
      <alignment/>
    </xf>
    <xf numFmtId="43" fontId="0" fillId="0" borderId="0" xfId="269" applyFont="1" applyAlignment="1">
      <alignment/>
    </xf>
    <xf numFmtId="43" fontId="0" fillId="0" borderId="0" xfId="286" applyNumberFormat="1" applyFont="1">
      <alignment/>
      <protection/>
    </xf>
    <xf numFmtId="3" fontId="12" fillId="0" borderId="0" xfId="286" applyNumberFormat="1" applyFont="1" applyFill="1" applyBorder="1">
      <alignment/>
      <protection/>
    </xf>
    <xf numFmtId="39" fontId="12" fillId="0" borderId="0" xfId="286" applyNumberFormat="1" applyFont="1" applyFill="1" applyBorder="1">
      <alignment/>
      <protection/>
    </xf>
    <xf numFmtId="169" fontId="0" fillId="0" borderId="0" xfId="269" applyNumberFormat="1" applyFont="1" applyFill="1" applyAlignment="1">
      <alignment/>
    </xf>
    <xf numFmtId="169" fontId="12" fillId="0" borderId="0" xfId="269" applyNumberFormat="1" applyFont="1" applyFill="1" applyAlignment="1">
      <alignment/>
    </xf>
    <xf numFmtId="169" fontId="44" fillId="0" borderId="0" xfId="269" applyNumberFormat="1" applyFont="1" applyFill="1" applyBorder="1" applyAlignment="1">
      <alignment/>
    </xf>
    <xf numFmtId="4" fontId="12" fillId="0" borderId="0" xfId="286" applyNumberFormat="1" applyFont="1" applyFill="1" applyAlignment="1">
      <alignment horizontal="right"/>
      <protection/>
    </xf>
    <xf numFmtId="4" fontId="12" fillId="0" borderId="0" xfId="286" applyNumberFormat="1" applyFont="1" applyAlignment="1">
      <alignment horizontal="right"/>
      <protection/>
    </xf>
    <xf numFmtId="37" fontId="0" fillId="0" borderId="0" xfId="0" applyNumberFormat="1" applyAlignment="1">
      <alignment/>
    </xf>
    <xf numFmtId="37" fontId="0" fillId="0" borderId="0" xfId="0" applyAlignment="1">
      <alignment horizontal="center" wrapText="1"/>
    </xf>
    <xf numFmtId="43" fontId="12" fillId="0" borderId="0" xfId="269" applyFont="1" applyFill="1" applyBorder="1" applyAlignment="1">
      <alignment/>
    </xf>
    <xf numFmtId="37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12" fillId="0" borderId="11" xfId="0" applyFont="1" applyBorder="1" applyAlignment="1">
      <alignment horizontal="center" vertical="center" wrapText="1"/>
    </xf>
    <xf numFmtId="37" fontId="0" fillId="0" borderId="0" xfId="0" applyAlignment="1">
      <alignment horizontal="center" vertical="center" wrapText="1"/>
    </xf>
    <xf numFmtId="43" fontId="0" fillId="0" borderId="0" xfId="269" applyFont="1" applyFill="1" applyAlignment="1">
      <alignment/>
    </xf>
    <xf numFmtId="169" fontId="0" fillId="0" borderId="0" xfId="286" applyNumberFormat="1" applyFont="1" applyFill="1">
      <alignment/>
      <protection/>
    </xf>
    <xf numFmtId="3" fontId="0" fillId="0" borderId="0" xfId="0" applyNumberFormat="1" applyFill="1" applyAlignment="1">
      <alignment horizontal="right"/>
    </xf>
    <xf numFmtId="207" fontId="12" fillId="0" borderId="0" xfId="286" applyNumberFormat="1" applyFont="1" applyAlignment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2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2" xfId="0" applyBorder="1" applyAlignment="1">
      <alignment horizontal="center" wrapText="1"/>
    </xf>
    <xf numFmtId="39" fontId="0" fillId="0" borderId="12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17" xfId="0" applyNumberFormat="1" applyBorder="1" applyAlignment="1">
      <alignment/>
    </xf>
    <xf numFmtId="39" fontId="0" fillId="0" borderId="19" xfId="0" applyNumberFormat="1" applyBorder="1" applyAlignment="1">
      <alignment/>
    </xf>
    <xf numFmtId="39" fontId="0" fillId="0" borderId="18" xfId="0" applyNumberFormat="1" applyBorder="1" applyAlignment="1">
      <alignment/>
    </xf>
    <xf numFmtId="39" fontId="0" fillId="0" borderId="20" xfId="0" applyNumberFormat="1" applyBorder="1" applyAlignment="1">
      <alignment/>
    </xf>
    <xf numFmtId="39" fontId="0" fillId="0" borderId="21" xfId="0" applyNumberFormat="1" applyBorder="1" applyAlignment="1">
      <alignment/>
    </xf>
    <xf numFmtId="37" fontId="46" fillId="0" borderId="0" xfId="0" applyFont="1" applyAlignment="1">
      <alignment vertical="center"/>
    </xf>
    <xf numFmtId="0" fontId="0" fillId="20" borderId="22" xfId="287" applyFill="1" applyBorder="1" applyProtection="1">
      <alignment/>
      <protection/>
    </xf>
    <xf numFmtId="0" fontId="0" fillId="20" borderId="23" xfId="287" applyFill="1" applyBorder="1" applyProtection="1">
      <alignment/>
      <protection/>
    </xf>
    <xf numFmtId="0" fontId="0" fillId="20" borderId="24" xfId="287" applyFill="1" applyBorder="1" applyProtection="1">
      <alignment/>
      <protection/>
    </xf>
    <xf numFmtId="0" fontId="0" fillId="20" borderId="0" xfId="287" applyFill="1" applyProtection="1">
      <alignment/>
      <protection/>
    </xf>
    <xf numFmtId="0" fontId="0" fillId="20" borderId="25" xfId="287" applyFill="1" applyBorder="1" applyProtection="1">
      <alignment/>
      <protection/>
    </xf>
    <xf numFmtId="0" fontId="0" fillId="20" borderId="0" xfId="287" applyFill="1" applyBorder="1" applyProtection="1">
      <alignment/>
      <protection/>
    </xf>
    <xf numFmtId="0" fontId="0" fillId="20" borderId="26" xfId="287" applyFill="1" applyBorder="1" applyProtection="1">
      <alignment/>
      <protection/>
    </xf>
    <xf numFmtId="0" fontId="29" fillId="20" borderId="0" xfId="287" applyFont="1" applyFill="1" applyBorder="1" applyProtection="1" quotePrefix="1">
      <alignment/>
      <protection/>
    </xf>
    <xf numFmtId="0" fontId="30" fillId="20" borderId="0" xfId="287" applyFont="1" applyFill="1" applyBorder="1" applyProtection="1">
      <alignment/>
      <protection/>
    </xf>
    <xf numFmtId="0" fontId="31" fillId="20" borderId="0" xfId="287" applyFont="1" applyFill="1" applyBorder="1" applyAlignment="1" applyProtection="1">
      <alignment horizontal="center"/>
      <protection/>
    </xf>
    <xf numFmtId="0" fontId="32" fillId="20" borderId="0" xfId="287" applyFont="1" applyFill="1" applyBorder="1" applyAlignment="1" applyProtection="1">
      <alignment horizontal="center"/>
      <protection/>
    </xf>
    <xf numFmtId="0" fontId="33" fillId="20" borderId="0" xfId="287" applyFont="1" applyFill="1" applyBorder="1" applyAlignment="1" applyProtection="1">
      <alignment horizontal="center"/>
      <protection/>
    </xf>
    <xf numFmtId="0" fontId="34" fillId="20" borderId="25" xfId="287" applyFont="1" applyFill="1" applyBorder="1" applyProtection="1">
      <alignment/>
      <protection/>
    </xf>
    <xf numFmtId="0" fontId="35" fillId="20" borderId="0" xfId="287" applyFont="1" applyFill="1" applyBorder="1" applyAlignment="1" applyProtection="1">
      <alignment horizontal="center"/>
      <protection/>
    </xf>
    <xf numFmtId="0" fontId="34" fillId="20" borderId="0" xfId="287" applyFont="1" applyFill="1" applyBorder="1" applyProtection="1">
      <alignment/>
      <protection/>
    </xf>
    <xf numFmtId="0" fontId="34" fillId="20" borderId="26" xfId="287" applyFont="1" applyFill="1" applyBorder="1" applyProtection="1">
      <alignment/>
      <protection/>
    </xf>
    <xf numFmtId="0" fontId="34" fillId="20" borderId="0" xfId="287" applyFont="1" applyFill="1" applyProtection="1">
      <alignment/>
      <protection/>
    </xf>
    <xf numFmtId="0" fontId="36" fillId="20" borderId="25" xfId="287" applyFont="1" applyFill="1" applyBorder="1" applyProtection="1">
      <alignment/>
      <protection/>
    </xf>
    <xf numFmtId="0" fontId="37" fillId="20" borderId="0" xfId="287" applyFont="1" applyFill="1" applyBorder="1" applyProtection="1">
      <alignment/>
      <protection/>
    </xf>
    <xf numFmtId="0" fontId="36" fillId="20" borderId="0" xfId="287" applyFont="1" applyFill="1" applyBorder="1" applyProtection="1">
      <alignment/>
      <protection/>
    </xf>
    <xf numFmtId="0" fontId="36" fillId="20" borderId="26" xfId="287" applyFont="1" applyFill="1" applyBorder="1" applyProtection="1">
      <alignment/>
      <protection/>
    </xf>
    <xf numFmtId="0" fontId="36" fillId="20" borderId="0" xfId="287" applyFont="1" applyFill="1" applyProtection="1">
      <alignment/>
      <protection/>
    </xf>
    <xf numFmtId="0" fontId="12" fillId="20" borderId="0" xfId="287" applyFont="1" applyFill="1" applyBorder="1" applyProtection="1">
      <alignment/>
      <protection/>
    </xf>
    <xf numFmtId="0" fontId="47" fillId="20" borderId="0" xfId="257" applyFont="1" applyFill="1" applyBorder="1" applyAlignment="1" applyProtection="1">
      <alignment/>
      <protection/>
    </xf>
    <xf numFmtId="0" fontId="0" fillId="20" borderId="27" xfId="287" applyFill="1" applyBorder="1" applyProtection="1">
      <alignment/>
      <protection/>
    </xf>
    <xf numFmtId="0" fontId="0" fillId="20" borderId="5" xfId="287" applyFill="1" applyBorder="1" applyProtection="1">
      <alignment/>
      <protection/>
    </xf>
    <xf numFmtId="0" fontId="0" fillId="20" borderId="28" xfId="287" applyFill="1" applyBorder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3" fontId="12" fillId="21" borderId="29" xfId="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 applyProtection="1">
      <alignment/>
      <protection/>
    </xf>
    <xf numFmtId="0" fontId="0" fillId="21" borderId="0" xfId="286" applyNumberFormat="1" applyFont="1" applyFill="1" applyProtection="1">
      <alignment/>
      <protection locked="0"/>
    </xf>
    <xf numFmtId="185" fontId="0" fillId="21" borderId="0" xfId="286" applyNumberFormat="1" applyFont="1" applyFill="1" applyAlignment="1" applyProtection="1">
      <alignment horizontal="center"/>
      <protection locked="0"/>
    </xf>
    <xf numFmtId="0" fontId="0" fillId="21" borderId="0" xfId="0" applyNumberFormat="1" applyFill="1" applyAlignment="1" applyProtection="1">
      <alignment/>
      <protection locked="0"/>
    </xf>
    <xf numFmtId="38" fontId="12" fillId="0" borderId="0" xfId="286" applyNumberFormat="1" applyFont="1" applyFill="1" applyAlignment="1" applyProtection="1">
      <alignment horizontal="right"/>
      <protection locked="0"/>
    </xf>
    <xf numFmtId="3" fontId="0" fillId="21" borderId="0" xfId="0" applyNumberFormat="1" applyFill="1" applyAlignment="1" applyProtection="1">
      <alignment horizontal="right"/>
      <protection locked="0"/>
    </xf>
    <xf numFmtId="3" fontId="0" fillId="21" borderId="0" xfId="286" applyNumberFormat="1" applyFont="1" applyFill="1" applyProtection="1">
      <alignment/>
      <protection locked="0"/>
    </xf>
    <xf numFmtId="3" fontId="0" fillId="21" borderId="0" xfId="0" applyNumberFormat="1" applyFill="1" applyAlignment="1" applyProtection="1">
      <alignment horizontal="right" vertical="center"/>
      <protection locked="0"/>
    </xf>
    <xf numFmtId="185" fontId="45" fillId="19" borderId="0" xfId="286" applyNumberFormat="1" applyFont="1" applyFill="1" applyBorder="1" applyAlignment="1" applyProtection="1">
      <alignment horizontal="center"/>
      <protection locked="0"/>
    </xf>
    <xf numFmtId="37" fontId="26" fillId="0" borderId="30" xfId="257" applyNumberFormat="1" applyFont="1" applyBorder="1" applyAlignment="1" applyProtection="1" quotePrefix="1">
      <alignment horizontal="center"/>
      <protection/>
    </xf>
    <xf numFmtId="37" fontId="26" fillId="0" borderId="31" xfId="257" applyNumberFormat="1" applyFont="1" applyBorder="1" applyAlignment="1" applyProtection="1" quotePrefix="1">
      <alignment horizontal="center"/>
      <protection/>
    </xf>
    <xf numFmtId="37" fontId="12" fillId="0" borderId="11" xfId="0" applyFont="1" applyBorder="1" applyAlignment="1">
      <alignment horizontal="center"/>
    </xf>
  </cellXfs>
  <cellStyles count="366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elda de comprobación" xfId="175"/>
    <cellStyle name="Celda de comprobación 2" xfId="176"/>
    <cellStyle name="Celda de comprobación 3" xfId="177"/>
    <cellStyle name="Celda de comprobación 4" xfId="178"/>
    <cellStyle name="Celda de comprobación 5" xfId="179"/>
    <cellStyle name="Celda de comprobación 6" xfId="180"/>
    <cellStyle name="Celda de comprobación 7" xfId="181"/>
    <cellStyle name="Celda de comprobación 8" xfId="182"/>
    <cellStyle name="Celda vinculada" xfId="183"/>
    <cellStyle name="Celda vinculada 2" xfId="184"/>
    <cellStyle name="Celda vinculada 3" xfId="185"/>
    <cellStyle name="Celda vinculada 4" xfId="186"/>
    <cellStyle name="Celda vinculada 5" xfId="187"/>
    <cellStyle name="Celda vinculada 6" xfId="188"/>
    <cellStyle name="Celda vinculada 7" xfId="189"/>
    <cellStyle name="Celda vinculada 8" xfId="190"/>
    <cellStyle name="Encabezado 1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Heading" xfId="256"/>
    <cellStyle name="Hyperlink" xfId="257"/>
    <cellStyle name="Hipervínculo 3" xfId="258"/>
    <cellStyle name="Followed Hyperlink" xfId="259"/>
    <cellStyle name="Hyperlink 2 2 2" xfId="260"/>
    <cellStyle name="Incorrecto" xfId="261"/>
    <cellStyle name="Incorrecto 2" xfId="262"/>
    <cellStyle name="Incorrecto 3" xfId="263"/>
    <cellStyle name="Incorrecto 4" xfId="264"/>
    <cellStyle name="Incorrecto 5" xfId="265"/>
    <cellStyle name="Incorrecto 6" xfId="266"/>
    <cellStyle name="Incorrecto 7" xfId="267"/>
    <cellStyle name="Incorrecto 8" xfId="268"/>
    <cellStyle name="Comma" xfId="269"/>
    <cellStyle name="Comma [0]" xfId="270"/>
    <cellStyle name="Millares 2 2 2 2" xfId="271"/>
    <cellStyle name="Millares 3 2 2" xfId="272"/>
    <cellStyle name="Currency" xfId="273"/>
    <cellStyle name="Currency [0]" xfId="274"/>
    <cellStyle name="Neutral" xfId="275"/>
    <cellStyle name="Neutral 2" xfId="276"/>
    <cellStyle name="Neutral 3" xfId="277"/>
    <cellStyle name="Neutral 4" xfId="278"/>
    <cellStyle name="Neutral 5" xfId="279"/>
    <cellStyle name="Neutral 6" xfId="280"/>
    <cellStyle name="Neutral 7" xfId="281"/>
    <cellStyle name="Neutral 8" xfId="282"/>
    <cellStyle name="Normal 10" xfId="283"/>
    <cellStyle name="Normal 11" xfId="284"/>
    <cellStyle name="Normal 2" xfId="285"/>
    <cellStyle name="Normal 2 2" xfId="286"/>
    <cellStyle name="Normal 2 2 2" xfId="287"/>
    <cellStyle name="Normal 2 3" xfId="288"/>
    <cellStyle name="Normal 2 3 2 2" xfId="289"/>
    <cellStyle name="Normal 2 4" xfId="290"/>
    <cellStyle name="Normal 2 5" xfId="291"/>
    <cellStyle name="Normal 2 6" xfId="292"/>
    <cellStyle name="Normal 3" xfId="293"/>
    <cellStyle name="Normal 4" xfId="294"/>
    <cellStyle name="Normal 5" xfId="295"/>
    <cellStyle name="Normal 6" xfId="296"/>
    <cellStyle name="Normal 6 2 2" xfId="297"/>
    <cellStyle name="Normal 7" xfId="298"/>
    <cellStyle name="Normal 8" xfId="299"/>
    <cellStyle name="Normal 9" xfId="300"/>
    <cellStyle name="Notas" xfId="301"/>
    <cellStyle name="Notas 2" xfId="302"/>
    <cellStyle name="Notas 3" xfId="303"/>
    <cellStyle name="Notas 4" xfId="304"/>
    <cellStyle name="Notas 5" xfId="305"/>
    <cellStyle name="Notas 6" xfId="306"/>
    <cellStyle name="Notas 7" xfId="307"/>
    <cellStyle name="Notas 8" xfId="308"/>
    <cellStyle name="Percent (0)" xfId="309"/>
    <cellStyle name="Percent (0) 2" xfId="310"/>
    <cellStyle name="Percent (0) 3" xfId="311"/>
    <cellStyle name="Percent (0) 4" xfId="312"/>
    <cellStyle name="Percent (0) 5" xfId="313"/>
    <cellStyle name="Percent (0) 6" xfId="314"/>
    <cellStyle name="Percent" xfId="315"/>
    <cellStyle name="Salida" xfId="316"/>
    <cellStyle name="Salida 2" xfId="317"/>
    <cellStyle name="Salida 3" xfId="318"/>
    <cellStyle name="Salida 4" xfId="319"/>
    <cellStyle name="Salida 5" xfId="320"/>
    <cellStyle name="Salida 6" xfId="321"/>
    <cellStyle name="Salida 7" xfId="322"/>
    <cellStyle name="Salida 8" xfId="323"/>
    <cellStyle name="Texto de advertencia" xfId="324"/>
    <cellStyle name="Texto de advertencia 2" xfId="325"/>
    <cellStyle name="Texto de advertencia 3" xfId="326"/>
    <cellStyle name="Texto de advertencia 4" xfId="327"/>
    <cellStyle name="Texto de advertencia 5" xfId="328"/>
    <cellStyle name="Texto de advertencia 6" xfId="329"/>
    <cellStyle name="Texto de advertencia 7" xfId="330"/>
    <cellStyle name="Texto de advertencia 8" xfId="331"/>
    <cellStyle name="Texto explicativo" xfId="332"/>
    <cellStyle name="Texto explicativo 2" xfId="333"/>
    <cellStyle name="Texto explicativo 3" xfId="334"/>
    <cellStyle name="Texto explicativo 4" xfId="335"/>
    <cellStyle name="Texto explicativo 5" xfId="336"/>
    <cellStyle name="Texto explicativo 6" xfId="337"/>
    <cellStyle name="Texto explicativo 7" xfId="338"/>
    <cellStyle name="Texto explicativo 8" xfId="339"/>
    <cellStyle name="Tickmark" xfId="340"/>
    <cellStyle name="Título" xfId="341"/>
    <cellStyle name="Título 1 2" xfId="342"/>
    <cellStyle name="Título 1 3" xfId="343"/>
    <cellStyle name="Título 1 4" xfId="344"/>
    <cellStyle name="Título 1 5" xfId="345"/>
    <cellStyle name="Título 1 6" xfId="346"/>
    <cellStyle name="Título 1 7" xfId="347"/>
    <cellStyle name="Título 1 8" xfId="348"/>
    <cellStyle name="Título 10" xfId="349"/>
    <cellStyle name="Título 2" xfId="350"/>
    <cellStyle name="Título 2 2" xfId="351"/>
    <cellStyle name="Título 2 3" xfId="352"/>
    <cellStyle name="Título 2 4" xfId="353"/>
    <cellStyle name="Título 2 5" xfId="354"/>
    <cellStyle name="Título 2 6" xfId="355"/>
    <cellStyle name="Título 2 7" xfId="356"/>
    <cellStyle name="Título 2 8" xfId="357"/>
    <cellStyle name="Título 3" xfId="358"/>
    <cellStyle name="Título 3 2" xfId="359"/>
    <cellStyle name="Título 3 3" xfId="360"/>
    <cellStyle name="Título 3 4" xfId="361"/>
    <cellStyle name="Título 3 5" xfId="362"/>
    <cellStyle name="Título 3 6" xfId="363"/>
    <cellStyle name="Título 3 7" xfId="364"/>
    <cellStyle name="Título 3 8" xfId="365"/>
    <cellStyle name="Título 4" xfId="366"/>
    <cellStyle name="Título 5" xfId="367"/>
    <cellStyle name="Título 6" xfId="368"/>
    <cellStyle name="Título 7" xfId="369"/>
    <cellStyle name="Título 8" xfId="370"/>
    <cellStyle name="Título 9" xfId="371"/>
    <cellStyle name="Total" xfId="372"/>
    <cellStyle name="Total 2" xfId="373"/>
    <cellStyle name="Total 3" xfId="374"/>
    <cellStyle name="Total 4" xfId="375"/>
    <cellStyle name="Total 5" xfId="376"/>
    <cellStyle name="Total 6" xfId="377"/>
    <cellStyle name="Total 7" xfId="378"/>
    <cellStyle name="Total 8" xfId="379"/>
  </cellStyles>
  <dxfs count="3">
    <dxf>
      <alignment wrapText="1" readingOrder="0"/>
      <border/>
    </dxf>
    <dxf>
      <alignment horizontal="center" readingOrder="0"/>
      <border/>
    </dxf>
    <dxf>
      <numFmt numFmtId="7" formatCode="$#,##0.00;($#,##0.00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28575</xdr:rowOff>
    </xdr:from>
    <xdr:to>
      <xdr:col>1</xdr:col>
      <xdr:colOff>5695950</xdr:colOff>
      <xdr:row>16</xdr:row>
      <xdr:rowOff>47625</xdr:rowOff>
    </xdr:to>
    <xdr:pic>
      <xdr:nvPicPr>
        <xdr:cNvPr id="1" name="1 Imagen" descr="logotipo mach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90500"/>
          <a:ext cx="52768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a12"/>
  </cacheSource>
  <cacheFields count="18">
    <cacheField name="C?digo">
      <sharedItems containsBlank="1" containsMixedTypes="0" count="7">
        <s v="MAQUINARIA Y EQUIPO"/>
        <s v="VEHICULOS"/>
        <s v="INSTALACIONES"/>
        <s v="MUEBLES Y ENSERES"/>
        <s v="EQUIPO DE OFICINA"/>
        <s v="EQUIPO DE COMPUTACION"/>
        <m/>
      </sharedItems>
    </cacheField>
    <cacheField name="Descripci?n">
      <sharedItems containsMixedTypes="0"/>
    </cacheField>
    <cacheField name="Ubicaci?n">
      <sharedItems containsBlank="1" containsMixedTypes="0" count="4">
        <s v="Oficina"/>
        <m/>
        <s v="Planta"/>
        <s v="Bodega"/>
      </sharedItems>
    </cacheField>
    <cacheField name="Fecha de adquisici?n">
      <sharedItems containsSemiMixedTypes="0" containsNonDate="0" containsDate="1" containsString="0" containsMixedTypes="0"/>
    </cacheField>
    <cacheField name="-">
      <sharedItems containsSemiMixedTypes="0" containsString="0" containsMixedTypes="0" containsNumber="1" containsInteger="1"/>
    </cacheField>
    <cacheField name="Vida ?til (meses)">
      <sharedItems containsSemiMixedTypes="0" containsString="0" containsMixedTypes="0" containsNumber="1" containsInteger="1"/>
    </cacheField>
    <cacheField name="dep acum (meses)">
      <sharedItems containsSemiMixedTypes="0" containsString="0" containsMixedTypes="0" containsNumber="1"/>
    </cacheField>
    <cacheField name="Fecha estimada de baja">
      <sharedItems containsSemiMixedTypes="0" containsNonDate="0" containsDate="1" containsString="0" containsMixedTypes="0"/>
    </cacheField>
    <cacheField name="% depreciacion">
      <sharedItems containsSemiMixedTypes="0" containsString="0" containsMixedTypes="0" containsNumber="1"/>
    </cacheField>
    <cacheField name="Costo">
      <sharedItems containsMixedTypes="1" containsNumber="1"/>
    </cacheField>
    <cacheField name="Valor residual">
      <sharedItems containsMixedTypes="1" containsNumber="1" containsInteger="1"/>
    </cacheField>
    <cacheField name="Dep acumulada">
      <sharedItems containsSemiMixedTypes="0" containsString="0" containsMixedTypes="0" containsNumber="1"/>
    </cacheField>
    <cacheField name="Dias transcurridos">
      <sharedItems containsSemiMixedTypes="0" containsString="0" containsMixedTypes="0" containsNumber="1"/>
    </cacheField>
    <cacheField name="Gasto del periodo">
      <sharedItems containsSemiMixedTypes="0" containsString="0" containsMixedTypes="0" containsNumber="1"/>
    </cacheField>
    <cacheField name="Costo2">
      <sharedItems containsSemiMixedTypes="0" containsString="0" containsMixedTypes="0" containsNumber="1"/>
    </cacheField>
    <cacheField name="Valor residual3">
      <sharedItems containsSemiMixedTypes="0" containsString="0" containsMixedTypes="0" containsNumber="1" containsInteger="1"/>
    </cacheField>
    <cacheField name="Dep acumulada4">
      <sharedItems containsSemiMixedTypes="0" containsString="0" containsMixedTypes="0" containsNumber="1"/>
    </cacheField>
    <cacheField name="Saldo net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missingCaption="0" showMissing="1" preserveFormatting="1" itemPrintTitles="1" compactData="0" updatedVersion="2" indent="0" showMemberPropertyTips="1">
  <location ref="A24:F32" firstHeaderRow="1" firstDataRow="2" firstDataCol="1"/>
  <pivotFields count="18">
    <pivotField axis="axisRow" compact="0" outline="0" subtotalTop="0" showAll="0">
      <items count="8">
        <item x="5"/>
        <item x="4"/>
        <item x="2"/>
        <item x="0"/>
        <item x="3"/>
        <item x="1"/>
        <item m="1" x="6"/>
        <item t="default"/>
      </items>
    </pivotField>
    <pivotField compact="0" outline="0" subtotalTop="0" showAll="0"/>
    <pivotField axis="axisCol" compact="0" outline="0" subtotalTop="0" showAll="0" defaultSubtotal="0">
      <items count="4">
        <item x="1"/>
        <item x="0"/>
        <item x="2"/>
        <item x="3"/>
      </items>
    </pivotField>
    <pivotField compact="0" outline="0" subtotalTop="0" showAll="0" numFmtId="185"/>
    <pivotField compact="0" outline="0" subtotalTop="0" showAll="0" numFmtId="38"/>
    <pivotField compact="0" outline="0" subtotalTop="0" showAll="0"/>
    <pivotField compact="0" outline="0" subtotalTop="0" showAll="0" numFmtId="187"/>
    <pivotField compact="0" outline="0" subtotalTop="0" showAll="0" numFmtId="185"/>
    <pivotField compact="0" outline="0" subtotalTop="0" showAll="0" numFmtId="9"/>
    <pivotField compact="0" outline="0" subtotalTop="0" showAll="0"/>
    <pivotField compact="0" outline="0" subtotalTop="0" showAll="0"/>
    <pivotField compact="0" outline="0" subtotalTop="0" showAll="0" numFmtId="3"/>
    <pivotField compact="0" outline="0" subtotalTop="0" showAll="0" numFmtId="37"/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a de Gasto del periodo" fld="13" baseField="0" baseItem="0" numFmtId="37"/>
  </dataFields>
  <formats count="3">
    <format dxfId="0">
      <pivotArea outline="0" fieldPosition="0" axis="axisRow" dataOnly="0" field="0" labelOnly="1" type="button"/>
    </format>
    <format dxfId="1">
      <pivotArea outline="0" fieldPosition="0" axis="axisRow" dataOnly="0" field="0" labelOnly="1" type="button"/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2" name="Tabla12" displayName="Tabla12" ref="A6:R153" comment="" totalsRowCount="1">
  <autoFilter ref="A6:R153"/>
  <tableColumns count="18">
    <tableColumn id="1" name="Código"/>
    <tableColumn id="2" name="Descripción"/>
    <tableColumn id="18" name="Ubicación"/>
    <tableColumn id="3" name="Fecha de adquisición"/>
    <tableColumn id="4" name="-"/>
    <tableColumn id="5" name="Vida útil (meses)"/>
    <tableColumn id="6" name="dep acum (meses)"/>
    <tableColumn id="7" name="Fecha estimada de baja"/>
    <tableColumn id="8" name="% depreciacion"/>
    <tableColumn id="9" name="Costo" totalsRowFunction="sum"/>
    <tableColumn id="10" name="Valor residual" totalsRowFunction="sum"/>
    <tableColumn id="11" name="Dep acumulada" totalsRowFunction="sum"/>
    <tableColumn id="12" name="Dias transcurridos"/>
    <tableColumn id="13" name="Gasto del periodo" totalsRowFunction="sum"/>
    <tableColumn id="14" name="Costo2" totalsRowFunction="sum"/>
    <tableColumn id="15" name="Valor residual3" totalsRowFunction="sum"/>
    <tableColumn id="16" name="Dep acumulada4" totalsRowFunction="sum"/>
    <tableColumn id="17" name="Saldo neto" totalsRowFunction="sum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2" name="Tabla22" displayName="Tabla22" ref="A7:L14" comment="" totalsRowCount="1">
  <autoFilter ref="A7:L14"/>
  <tableColumns count="12">
    <tableColumn id="1" name="Grupo"/>
    <tableColumn id="2" name="Costo" totalsRowFunction="sum"/>
    <tableColumn id="3" name="Dep acumulada" totalsRowFunction="sum"/>
    <tableColumn id="4" name="Saldo neto" totalsRowFunction="sum"/>
    <tableColumn id="5" name="-"/>
    <tableColumn id="6" name="Costo2" totalsRowFunction="sum"/>
    <tableColumn id="7" name="Dep acumulada3" totalsRowFunction="sum"/>
    <tableColumn id="8" name="Saldo neto4" totalsRowFunction="sum"/>
    <tableColumn id="9" name="-5"/>
    <tableColumn id="10" name="Costo6" totalsRowFunction="sum"/>
    <tableColumn id="11" name="Dep acumulada7" totalsRowFunction="sum"/>
    <tableColumn id="12" name="Saldo neto8" totalsRowFunction="sum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erez@mach.com.ec" TargetMode="External" /><Relationship Id="rId2" Type="http://schemas.openxmlformats.org/officeDocument/2006/relationships/hyperlink" Target="mailto:eoleas@mach.com.ec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="90" zoomScaleNormal="90" zoomScalePageLayoutView="0" workbookViewId="0" topLeftCell="A1">
      <selection activeCell="B27" sqref="B27"/>
    </sheetView>
  </sheetViews>
  <sheetFormatPr defaultColWidth="9.140625" defaultRowHeight="12.75"/>
  <cols>
    <col min="1" max="1" width="3.7109375" style="86" customWidth="1"/>
    <col min="2" max="2" width="85.421875" style="86" bestFit="1" customWidth="1"/>
    <col min="3" max="3" width="9.140625" style="86" customWidth="1"/>
    <col min="4" max="4" width="12.28125" style="86" customWidth="1"/>
    <col min="5" max="5" width="5.28125" style="86" customWidth="1"/>
    <col min="6" max="16384" width="9.140625" style="86" customWidth="1"/>
  </cols>
  <sheetData>
    <row r="1" spans="1:5" ht="12.75">
      <c r="A1" s="83"/>
      <c r="B1" s="84"/>
      <c r="C1" s="84"/>
      <c r="D1" s="84"/>
      <c r="E1" s="85"/>
    </row>
    <row r="2" spans="1:5" ht="12.75">
      <c r="A2" s="87"/>
      <c r="B2" s="88"/>
      <c r="C2" s="88"/>
      <c r="D2" s="88"/>
      <c r="E2" s="89"/>
    </row>
    <row r="3" spans="1:5" ht="12.75">
      <c r="A3" s="87"/>
      <c r="B3" s="88"/>
      <c r="C3" s="88"/>
      <c r="D3" s="88"/>
      <c r="E3" s="89"/>
    </row>
    <row r="4" spans="1:5" ht="31.5">
      <c r="A4" s="87"/>
      <c r="B4" s="88"/>
      <c r="C4" s="90"/>
      <c r="D4" s="88"/>
      <c r="E4" s="89"/>
    </row>
    <row r="5" spans="1:5" ht="12.75">
      <c r="A5" s="87"/>
      <c r="B5" s="88"/>
      <c r="C5" s="88"/>
      <c r="D5" s="88"/>
      <c r="E5" s="89"/>
    </row>
    <row r="6" spans="1:5" ht="12.75">
      <c r="A6" s="87"/>
      <c r="B6" s="88"/>
      <c r="C6" s="88"/>
      <c r="D6" s="88"/>
      <c r="E6" s="89"/>
    </row>
    <row r="7" spans="1:5" ht="12.75">
      <c r="A7" s="87"/>
      <c r="B7" s="88"/>
      <c r="C7" s="88"/>
      <c r="D7" s="88"/>
      <c r="E7" s="89"/>
    </row>
    <row r="8" spans="1:5" ht="12.75">
      <c r="A8" s="87"/>
      <c r="B8" s="88"/>
      <c r="C8" s="88"/>
      <c r="D8" s="88"/>
      <c r="E8" s="89"/>
    </row>
    <row r="9" spans="1:5" ht="12.75">
      <c r="A9" s="87"/>
      <c r="B9" s="88"/>
      <c r="C9" s="88"/>
      <c r="D9" s="88"/>
      <c r="E9" s="89"/>
    </row>
    <row r="10" spans="1:5" ht="12.75">
      <c r="A10" s="87"/>
      <c r="B10" s="88"/>
      <c r="C10" s="88"/>
      <c r="D10" s="88"/>
      <c r="E10" s="89"/>
    </row>
    <row r="11" spans="1:5" ht="13.5">
      <c r="A11" s="87"/>
      <c r="B11" s="91"/>
      <c r="C11" s="88"/>
      <c r="D11" s="88"/>
      <c r="E11" s="89"/>
    </row>
    <row r="12" spans="1:5" ht="13.5">
      <c r="A12" s="87"/>
      <c r="B12" s="91"/>
      <c r="C12" s="88"/>
      <c r="D12" s="88"/>
      <c r="E12" s="89"/>
    </row>
    <row r="13" spans="1:5" ht="13.5">
      <c r="A13" s="87"/>
      <c r="B13" s="91"/>
      <c r="C13" s="88"/>
      <c r="D13" s="88"/>
      <c r="E13" s="89"/>
    </row>
    <row r="14" spans="1:5" ht="12.75">
      <c r="A14" s="87"/>
      <c r="B14" s="88"/>
      <c r="C14" s="88"/>
      <c r="D14" s="88"/>
      <c r="E14" s="89"/>
    </row>
    <row r="15" spans="1:5" ht="12.75">
      <c r="A15" s="87"/>
      <c r="B15" s="88"/>
      <c r="C15" s="88"/>
      <c r="D15" s="88"/>
      <c r="E15" s="89"/>
    </row>
    <row r="16" spans="1:5" ht="27">
      <c r="A16" s="87"/>
      <c r="B16" s="92"/>
      <c r="C16" s="88"/>
      <c r="D16" s="88"/>
      <c r="E16" s="89"/>
    </row>
    <row r="17" spans="1:5" ht="12.75">
      <c r="A17" s="87"/>
      <c r="B17" s="88"/>
      <c r="C17" s="88"/>
      <c r="D17" s="88"/>
      <c r="E17" s="89"/>
    </row>
    <row r="18" spans="1:5" ht="27">
      <c r="A18" s="87"/>
      <c r="B18" s="93" t="s">
        <v>178</v>
      </c>
      <c r="C18" s="88"/>
      <c r="D18" s="88"/>
      <c r="E18" s="89"/>
    </row>
    <row r="19" spans="1:5" ht="12.75" customHeight="1">
      <c r="A19" s="87"/>
      <c r="B19" s="94"/>
      <c r="C19" s="88"/>
      <c r="D19" s="88"/>
      <c r="E19" s="89"/>
    </row>
    <row r="20" spans="1:5" s="99" customFormat="1" ht="32.25">
      <c r="A20" s="95"/>
      <c r="B20" s="96" t="s">
        <v>173</v>
      </c>
      <c r="C20" s="97"/>
      <c r="D20" s="97"/>
      <c r="E20" s="98"/>
    </row>
    <row r="21" spans="1:5" ht="12.75">
      <c r="A21" s="87"/>
      <c r="B21" s="88"/>
      <c r="C21" s="88"/>
      <c r="D21" s="88"/>
      <c r="E21" s="89"/>
    </row>
    <row r="22" spans="1:5" ht="12.75">
      <c r="A22" s="87"/>
      <c r="B22" s="88"/>
      <c r="C22" s="88"/>
      <c r="D22" s="88"/>
      <c r="E22" s="89"/>
    </row>
    <row r="23" spans="1:5" s="104" customFormat="1" ht="15">
      <c r="A23" s="100"/>
      <c r="B23" s="101" t="s">
        <v>174</v>
      </c>
      <c r="C23" s="102"/>
      <c r="D23" s="102"/>
      <c r="E23" s="103"/>
    </row>
    <row r="24" spans="1:5" s="104" customFormat="1" ht="15">
      <c r="A24" s="100"/>
      <c r="B24" s="106" t="s">
        <v>179</v>
      </c>
      <c r="C24" s="102"/>
      <c r="D24" s="102"/>
      <c r="E24" s="103"/>
    </row>
    <row r="25" spans="1:5" ht="12.75">
      <c r="A25" s="87"/>
      <c r="B25" s="105"/>
      <c r="C25" s="88"/>
      <c r="D25" s="88"/>
      <c r="E25" s="89"/>
    </row>
    <row r="26" spans="1:5" s="104" customFormat="1" ht="15">
      <c r="A26" s="100"/>
      <c r="B26" s="101" t="s">
        <v>175</v>
      </c>
      <c r="C26" s="102"/>
      <c r="D26" s="102"/>
      <c r="E26" s="103"/>
    </row>
    <row r="27" spans="1:5" s="104" customFormat="1" ht="15">
      <c r="A27" s="100"/>
      <c r="B27" s="101" t="s">
        <v>176</v>
      </c>
      <c r="C27" s="102"/>
      <c r="D27" s="102"/>
      <c r="E27" s="103"/>
    </row>
    <row r="28" spans="1:5" s="104" customFormat="1" ht="15">
      <c r="A28" s="100"/>
      <c r="B28" s="106" t="s">
        <v>177</v>
      </c>
      <c r="C28" s="102"/>
      <c r="D28" s="102"/>
      <c r="E28" s="103"/>
    </row>
    <row r="29" spans="1:5" ht="13.5" thickBot="1">
      <c r="A29" s="107"/>
      <c r="B29" s="108"/>
      <c r="C29" s="108"/>
      <c r="D29" s="108"/>
      <c r="E29" s="109"/>
    </row>
  </sheetData>
  <sheetProtection password="AA41" sheet="1" objects="1" scenarios="1"/>
  <hyperlinks>
    <hyperlink ref="B28" r:id="rId1" display="eperez@mach.com.ec"/>
    <hyperlink ref="B24" r:id="rId2" display="eoleas@mach.com.ec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/>
  <dimension ref="A1:V160"/>
  <sheetViews>
    <sheetView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11.421875" defaultRowHeight="12.75"/>
  <cols>
    <col min="1" max="1" width="27.57421875" style="16" customWidth="1"/>
    <col min="2" max="2" width="45.421875" style="16" customWidth="1"/>
    <col min="3" max="3" width="15.00390625" style="16" bestFit="1" customWidth="1"/>
    <col min="4" max="4" width="16.421875" style="17" customWidth="1"/>
    <col min="5" max="5" width="3.8515625" style="17" customWidth="1"/>
    <col min="6" max="6" width="12.8515625" style="16" customWidth="1"/>
    <col min="7" max="8" width="14.8515625" style="16" customWidth="1"/>
    <col min="9" max="9" width="12.8515625" style="16" customWidth="1"/>
    <col min="10" max="11" width="13.421875" style="9" customWidth="1"/>
    <col min="12" max="12" width="13.421875" style="8" customWidth="1"/>
    <col min="13" max="13" width="15.00390625" style="16" customWidth="1"/>
    <col min="14" max="14" width="13.57421875" style="16" customWidth="1"/>
    <col min="15" max="16" width="13.140625" style="16" customWidth="1"/>
    <col min="17" max="17" width="13.140625" style="9" customWidth="1"/>
    <col min="18" max="18" width="13.140625" style="18" customWidth="1"/>
    <col min="19" max="19" width="3.7109375" style="18" customWidth="1"/>
    <col min="20" max="16384" width="11.421875" style="16" customWidth="1"/>
  </cols>
  <sheetData>
    <row r="1" spans="1:20" s="10" customFormat="1" ht="12.75">
      <c r="A1" s="10" t="s">
        <v>153</v>
      </c>
      <c r="D1" s="11"/>
      <c r="E1" s="11"/>
      <c r="F1" s="11"/>
      <c r="G1" s="11"/>
      <c r="H1" s="11"/>
      <c r="I1" s="11"/>
      <c r="J1" s="12"/>
      <c r="K1" s="12"/>
      <c r="N1" s="13"/>
      <c r="O1" s="13"/>
      <c r="P1" s="13"/>
      <c r="Q1" s="14"/>
      <c r="R1" s="13"/>
      <c r="T1" s="124" t="s">
        <v>6</v>
      </c>
    </row>
    <row r="2" spans="1:20" s="10" customFormat="1" ht="12.75">
      <c r="A2" s="10" t="s">
        <v>154</v>
      </c>
      <c r="D2" s="11"/>
      <c r="E2" s="11"/>
      <c r="F2" s="11"/>
      <c r="G2" s="11"/>
      <c r="H2" s="11"/>
      <c r="I2" s="11"/>
      <c r="J2" s="12"/>
      <c r="K2" s="12"/>
      <c r="N2" s="13"/>
      <c r="Q2" s="14"/>
      <c r="R2" s="13"/>
      <c r="T2" s="125"/>
    </row>
    <row r="3" spans="1:18" s="10" customFormat="1" ht="12.75">
      <c r="A3" s="15" t="s">
        <v>172</v>
      </c>
      <c r="D3" s="11"/>
      <c r="E3" s="11"/>
      <c r="F3" s="11"/>
      <c r="G3" s="11"/>
      <c r="H3" s="64" t="s">
        <v>171</v>
      </c>
      <c r="I3" s="11">
        <v>1000</v>
      </c>
      <c r="J3" s="12"/>
      <c r="K3" s="12"/>
      <c r="M3" s="17"/>
      <c r="N3" s="13"/>
      <c r="O3" s="13"/>
      <c r="P3" s="13"/>
      <c r="Q3" s="14"/>
      <c r="R3" s="13"/>
    </row>
    <row r="4" spans="13:20" ht="12.75">
      <c r="M4" s="17"/>
      <c r="T4" s="3" t="s">
        <v>4</v>
      </c>
    </row>
    <row r="5" spans="4:19" s="19" customFormat="1" ht="12.75">
      <c r="D5" s="20"/>
      <c r="E5" s="20"/>
      <c r="F5" s="20"/>
      <c r="G5" s="20"/>
      <c r="H5" s="20"/>
      <c r="I5" s="20"/>
      <c r="J5" s="123">
        <v>42004</v>
      </c>
      <c r="K5" s="123"/>
      <c r="L5" s="123"/>
      <c r="N5" s="21"/>
      <c r="O5" s="123">
        <v>42551</v>
      </c>
      <c r="P5" s="123"/>
      <c r="Q5" s="123"/>
      <c r="R5" s="39"/>
      <c r="S5" s="21"/>
    </row>
    <row r="6" spans="1:18" s="38" customFormat="1" ht="38.25">
      <c r="A6" s="37" t="s">
        <v>5</v>
      </c>
      <c r="B6" s="37" t="s">
        <v>20</v>
      </c>
      <c r="C6" s="37" t="s">
        <v>156</v>
      </c>
      <c r="D6" s="37" t="s">
        <v>2</v>
      </c>
      <c r="E6" s="22" t="s">
        <v>149</v>
      </c>
      <c r="F6" s="37" t="s">
        <v>21</v>
      </c>
      <c r="G6" s="37" t="s">
        <v>22</v>
      </c>
      <c r="H6" s="37" t="s">
        <v>148</v>
      </c>
      <c r="I6" s="37" t="s">
        <v>23</v>
      </c>
      <c r="J6" s="37" t="s">
        <v>24</v>
      </c>
      <c r="K6" s="37" t="s">
        <v>146</v>
      </c>
      <c r="L6" s="37" t="s">
        <v>25</v>
      </c>
      <c r="M6" s="23" t="s">
        <v>147</v>
      </c>
      <c r="N6" s="24" t="s">
        <v>144</v>
      </c>
      <c r="O6" s="40" t="s">
        <v>150</v>
      </c>
      <c r="P6" s="40" t="s">
        <v>151</v>
      </c>
      <c r="Q6" s="40" t="s">
        <v>152</v>
      </c>
      <c r="R6" s="40" t="s">
        <v>26</v>
      </c>
    </row>
    <row r="7" spans="1:22" s="19" customFormat="1" ht="12.75">
      <c r="A7" s="116" t="s">
        <v>27</v>
      </c>
      <c r="B7" s="116" t="s">
        <v>0</v>
      </c>
      <c r="C7" s="116" t="s">
        <v>158</v>
      </c>
      <c r="D7" s="117">
        <v>38357</v>
      </c>
      <c r="E7" s="119">
        <v>-2</v>
      </c>
      <c r="F7" s="116">
        <v>120</v>
      </c>
      <c r="G7" s="33">
        <f aca="true" t="shared" si="0" ref="G7:G38">+IF((($J$5-D7)/30.44)&gt;F7,F7,IF((($J$5-D7)/30.44)&lt;1,0,(($J$5-D7)/30.44)))</f>
        <v>119.80946123521682</v>
      </c>
      <c r="H7" s="17">
        <f aca="true" t="shared" si="1" ref="H7:H38">+D7+F7*30.44</f>
        <v>42009.8</v>
      </c>
      <c r="I7" s="41">
        <f aca="true" t="shared" si="2" ref="I7:I38">_xlfn.IFERROR(((100/(F7/12))/100),0)</f>
        <v>0.1</v>
      </c>
      <c r="J7" s="120">
        <v>70000</v>
      </c>
      <c r="K7" s="120"/>
      <c r="L7" s="63">
        <f aca="true" t="shared" si="3" ref="L7:L38">_xlfn.IFERROR(((J7-K7)/F7*G7),0)</f>
        <v>69888.85238720982</v>
      </c>
      <c r="M7" s="26">
        <f aca="true" t="shared" si="4" ref="M7:M38">IF((IF(AND(D7&gt;$J$5,$O$5&lt;H7),$O$5-D7,IF(H7&lt;$O$5,H7-$J$5,$O$5-$J$5)))&lt;=0,0,(IF(AND(D7&gt;$J$5,$O$5&lt;H7),$O$5-D7,IF(H7&lt;$O$5,H7-$J$5,$O$5-$J$5))))</f>
        <v>5.80000000000291</v>
      </c>
      <c r="N7" s="62">
        <f aca="true" t="shared" si="5" ref="N7:N38">_xlfn.IFERROR(((J7-K7)/F7*M7/30.44),0)</f>
        <v>111.14761279024411</v>
      </c>
      <c r="O7" s="27">
        <f>+J7</f>
        <v>70000</v>
      </c>
      <c r="P7" s="27">
        <f>+K7</f>
        <v>0</v>
      </c>
      <c r="Q7" s="27">
        <f>+L7+N7</f>
        <v>70000.00000000006</v>
      </c>
      <c r="R7" s="42">
        <f>+O7-P7-Q7</f>
        <v>0</v>
      </c>
      <c r="S7" s="25"/>
      <c r="T7" s="61"/>
      <c r="U7" s="44"/>
      <c r="V7" s="45"/>
    </row>
    <row r="8" spans="1:22" s="19" customFormat="1" ht="12.75">
      <c r="A8" s="116" t="s">
        <v>28</v>
      </c>
      <c r="B8" s="116" t="s">
        <v>29</v>
      </c>
      <c r="C8" s="116"/>
      <c r="D8" s="117">
        <v>38367</v>
      </c>
      <c r="E8" s="119">
        <v>-6</v>
      </c>
      <c r="F8" s="116">
        <v>120</v>
      </c>
      <c r="G8" s="33">
        <f t="shared" si="0"/>
        <v>119.48094612352168</v>
      </c>
      <c r="H8" s="17">
        <f t="shared" si="1"/>
        <v>42019.8</v>
      </c>
      <c r="I8" s="41">
        <f t="shared" si="2"/>
        <v>0.1</v>
      </c>
      <c r="J8" s="120">
        <v>859.29</v>
      </c>
      <c r="K8" s="120"/>
      <c r="L8" s="63">
        <f t="shared" si="3"/>
        <v>855.5731849540077</v>
      </c>
      <c r="M8" s="26">
        <f t="shared" si="4"/>
        <v>15.80000000000291</v>
      </c>
      <c r="N8" s="62">
        <f t="shared" si="5"/>
        <v>3.7168150459927998</v>
      </c>
      <c r="O8" s="27">
        <f aca="true" t="shared" si="6" ref="O8:O71">+J8</f>
        <v>859.29</v>
      </c>
      <c r="P8" s="27">
        <f aca="true" t="shared" si="7" ref="P8:P71">+K8</f>
        <v>0</v>
      </c>
      <c r="Q8" s="27">
        <f>+L8+N8</f>
        <v>859.2900000000005</v>
      </c>
      <c r="R8" s="42">
        <f aca="true" t="shared" si="8" ref="R8:R71">+O8-P8-Q8</f>
        <v>0</v>
      </c>
      <c r="S8" s="25"/>
      <c r="T8" s="43"/>
      <c r="U8" s="44"/>
      <c r="V8" s="45"/>
    </row>
    <row r="9" spans="1:22" s="19" customFormat="1" ht="12.75">
      <c r="A9" s="116" t="s">
        <v>30</v>
      </c>
      <c r="B9" s="116" t="s">
        <v>31</v>
      </c>
      <c r="C9" s="116"/>
      <c r="D9" s="117">
        <v>40633</v>
      </c>
      <c r="E9" s="119">
        <v>-1</v>
      </c>
      <c r="F9" s="116">
        <v>120</v>
      </c>
      <c r="G9" s="33">
        <f t="shared" si="0"/>
        <v>45.039421813403415</v>
      </c>
      <c r="H9" s="17">
        <f t="shared" si="1"/>
        <v>44285.8</v>
      </c>
      <c r="I9" s="41">
        <f t="shared" si="2"/>
        <v>0.1</v>
      </c>
      <c r="J9" s="120">
        <v>2000.8</v>
      </c>
      <c r="K9" s="120"/>
      <c r="L9" s="63">
        <f t="shared" si="3"/>
        <v>750.9572930354796</v>
      </c>
      <c r="M9" s="26">
        <f t="shared" si="4"/>
        <v>547</v>
      </c>
      <c r="N9" s="62">
        <f t="shared" si="5"/>
        <v>299.6160753394656</v>
      </c>
      <c r="O9" s="27">
        <f t="shared" si="6"/>
        <v>2000.8</v>
      </c>
      <c r="P9" s="27">
        <f t="shared" si="7"/>
        <v>0</v>
      </c>
      <c r="Q9" s="27">
        <f aca="true" t="shared" si="9" ref="Q9:Q71">+L9+N9</f>
        <v>1050.5733683749452</v>
      </c>
      <c r="R9" s="42">
        <f t="shared" si="8"/>
        <v>950.2266316250548</v>
      </c>
      <c r="S9" s="25"/>
      <c r="T9" s="44"/>
      <c r="U9" s="44"/>
      <c r="V9" s="45"/>
    </row>
    <row r="10" spans="1:22" s="19" customFormat="1" ht="12.75">
      <c r="A10" s="116" t="s">
        <v>28</v>
      </c>
      <c r="B10" s="118" t="s">
        <v>32</v>
      </c>
      <c r="C10" s="118"/>
      <c r="D10" s="117">
        <v>41927</v>
      </c>
      <c r="E10" s="119">
        <v>-6</v>
      </c>
      <c r="F10" s="116">
        <v>120</v>
      </c>
      <c r="G10" s="33">
        <f t="shared" si="0"/>
        <v>2.5295663600525624</v>
      </c>
      <c r="H10" s="17">
        <f t="shared" si="1"/>
        <v>45579.8</v>
      </c>
      <c r="I10" s="41">
        <f t="shared" si="2"/>
        <v>0.1</v>
      </c>
      <c r="J10" s="120">
        <v>37990</v>
      </c>
      <c r="K10" s="120"/>
      <c r="L10" s="63">
        <f t="shared" si="3"/>
        <v>800.818550153307</v>
      </c>
      <c r="M10" s="26">
        <f t="shared" si="4"/>
        <v>547</v>
      </c>
      <c r="N10" s="62">
        <f t="shared" si="5"/>
        <v>5688.9317783618035</v>
      </c>
      <c r="O10" s="27">
        <f t="shared" si="6"/>
        <v>37990</v>
      </c>
      <c r="P10" s="27">
        <f t="shared" si="7"/>
        <v>0</v>
      </c>
      <c r="Q10" s="27">
        <f t="shared" si="9"/>
        <v>6489.750328515111</v>
      </c>
      <c r="R10" s="42">
        <f t="shared" si="8"/>
        <v>31500.24967148489</v>
      </c>
      <c r="S10" s="25"/>
      <c r="T10" s="43"/>
      <c r="U10" s="44"/>
      <c r="V10" s="45"/>
    </row>
    <row r="11" spans="1:22" s="19" customFormat="1" ht="12.75">
      <c r="A11" s="116" t="s">
        <v>30</v>
      </c>
      <c r="B11" s="118" t="s">
        <v>33</v>
      </c>
      <c r="C11" s="118"/>
      <c r="D11" s="117">
        <v>40663</v>
      </c>
      <c r="E11" s="119">
        <v>-1</v>
      </c>
      <c r="F11" s="116">
        <v>120</v>
      </c>
      <c r="G11" s="33">
        <f t="shared" si="0"/>
        <v>44.053876478318</v>
      </c>
      <c r="H11" s="17">
        <f t="shared" si="1"/>
        <v>44315.8</v>
      </c>
      <c r="I11" s="41">
        <f t="shared" si="2"/>
        <v>0.1</v>
      </c>
      <c r="J11" s="120">
        <v>1150</v>
      </c>
      <c r="K11" s="120"/>
      <c r="L11" s="63">
        <f t="shared" si="3"/>
        <v>422.18298291721425</v>
      </c>
      <c r="M11" s="26">
        <f t="shared" si="4"/>
        <v>547</v>
      </c>
      <c r="N11" s="62">
        <f t="shared" si="5"/>
        <v>172.21035917652213</v>
      </c>
      <c r="O11" s="27">
        <f t="shared" si="6"/>
        <v>1150</v>
      </c>
      <c r="P11" s="27">
        <f t="shared" si="7"/>
        <v>0</v>
      </c>
      <c r="Q11" s="27">
        <f t="shared" si="9"/>
        <v>594.3933420937364</v>
      </c>
      <c r="R11" s="42">
        <f t="shared" si="8"/>
        <v>555.6066579062636</v>
      </c>
      <c r="S11" s="25"/>
      <c r="T11" s="44"/>
      <c r="U11" s="44"/>
      <c r="V11" s="45"/>
    </row>
    <row r="12" spans="1:22" s="19" customFormat="1" ht="12.75">
      <c r="A12" s="116" t="s">
        <v>30</v>
      </c>
      <c r="B12" s="118" t="s">
        <v>31</v>
      </c>
      <c r="C12" s="118"/>
      <c r="D12" s="117">
        <v>40663</v>
      </c>
      <c r="E12" s="119">
        <v>-1</v>
      </c>
      <c r="F12" s="116">
        <v>120</v>
      </c>
      <c r="G12" s="33">
        <f t="shared" si="0"/>
        <v>44.053876478318</v>
      </c>
      <c r="H12" s="17">
        <f t="shared" si="1"/>
        <v>44315.8</v>
      </c>
      <c r="I12" s="41">
        <f t="shared" si="2"/>
        <v>0.1</v>
      </c>
      <c r="J12" s="120">
        <v>1431.87</v>
      </c>
      <c r="K12" s="120"/>
      <c r="L12" s="63">
        <f t="shared" si="3"/>
        <v>525.66186760841</v>
      </c>
      <c r="M12" s="26">
        <f t="shared" si="4"/>
        <v>547</v>
      </c>
      <c r="N12" s="62">
        <f t="shared" si="5"/>
        <v>214.41986695137976</v>
      </c>
      <c r="O12" s="27">
        <f t="shared" si="6"/>
        <v>1431.87</v>
      </c>
      <c r="P12" s="27">
        <f t="shared" si="7"/>
        <v>0</v>
      </c>
      <c r="Q12" s="27">
        <f t="shared" si="9"/>
        <v>740.0817345597898</v>
      </c>
      <c r="R12" s="42">
        <f t="shared" si="8"/>
        <v>691.7882654402101</v>
      </c>
      <c r="S12" s="25"/>
      <c r="T12" s="44"/>
      <c r="U12" s="44"/>
      <c r="V12" s="45"/>
    </row>
    <row r="13" spans="1:22" s="19" customFormat="1" ht="12.75">
      <c r="A13" s="116" t="s">
        <v>27</v>
      </c>
      <c r="B13" s="118" t="s">
        <v>34</v>
      </c>
      <c r="C13" s="118" t="s">
        <v>160</v>
      </c>
      <c r="D13" s="117">
        <v>38512</v>
      </c>
      <c r="E13" s="119">
        <v>-2</v>
      </c>
      <c r="F13" s="116">
        <v>120</v>
      </c>
      <c r="G13" s="33">
        <f t="shared" si="0"/>
        <v>114.71747700394218</v>
      </c>
      <c r="H13" s="17">
        <f t="shared" si="1"/>
        <v>42164.8</v>
      </c>
      <c r="I13" s="41">
        <f t="shared" si="2"/>
        <v>0.1</v>
      </c>
      <c r="J13" s="120">
        <v>153000</v>
      </c>
      <c r="K13" s="120">
        <v>10000</v>
      </c>
      <c r="L13" s="63">
        <f t="shared" si="3"/>
        <v>136704.99342969776</v>
      </c>
      <c r="M13" s="26">
        <f t="shared" si="4"/>
        <v>160.8000000000029</v>
      </c>
      <c r="N13" s="62">
        <f t="shared" si="5"/>
        <v>6295.006570302348</v>
      </c>
      <c r="O13" s="27">
        <f t="shared" si="6"/>
        <v>153000</v>
      </c>
      <c r="P13" s="27">
        <f t="shared" si="7"/>
        <v>10000</v>
      </c>
      <c r="Q13" s="27">
        <f t="shared" si="9"/>
        <v>143000.00000000012</v>
      </c>
      <c r="R13" s="42">
        <f t="shared" si="8"/>
        <v>0</v>
      </c>
      <c r="S13" s="25"/>
      <c r="T13" s="43"/>
      <c r="U13" s="44"/>
      <c r="V13" s="45"/>
    </row>
    <row r="14" spans="1:22" s="19" customFormat="1" ht="12.75">
      <c r="A14" s="116" t="s">
        <v>35</v>
      </c>
      <c r="B14" s="118" t="s">
        <v>36</v>
      </c>
      <c r="C14" s="118"/>
      <c r="D14" s="117">
        <v>40724</v>
      </c>
      <c r="E14" s="119">
        <v>-3</v>
      </c>
      <c r="F14" s="116">
        <v>120</v>
      </c>
      <c r="G14" s="33">
        <f t="shared" si="0"/>
        <v>42.04993429697766</v>
      </c>
      <c r="H14" s="17">
        <f t="shared" si="1"/>
        <v>44376.8</v>
      </c>
      <c r="I14" s="41">
        <f t="shared" si="2"/>
        <v>0.1</v>
      </c>
      <c r="J14" s="120">
        <v>2100</v>
      </c>
      <c r="K14" s="120"/>
      <c r="L14" s="63">
        <f t="shared" si="3"/>
        <v>735.873850197109</v>
      </c>
      <c r="M14" s="26">
        <f t="shared" si="4"/>
        <v>547</v>
      </c>
      <c r="N14" s="62">
        <f t="shared" si="5"/>
        <v>314.47109067017084</v>
      </c>
      <c r="O14" s="27">
        <f t="shared" si="6"/>
        <v>2100</v>
      </c>
      <c r="P14" s="27">
        <f t="shared" si="7"/>
        <v>0</v>
      </c>
      <c r="Q14" s="27">
        <f t="shared" si="9"/>
        <v>1050.34494086728</v>
      </c>
      <c r="R14" s="42">
        <f t="shared" si="8"/>
        <v>1049.65505913272</v>
      </c>
      <c r="S14" s="25"/>
      <c r="T14" s="43"/>
      <c r="U14" s="44"/>
      <c r="V14" s="45"/>
    </row>
    <row r="15" spans="1:22" s="19" customFormat="1" ht="12.75">
      <c r="A15" s="116" t="s">
        <v>27</v>
      </c>
      <c r="B15" s="118" t="s">
        <v>37</v>
      </c>
      <c r="C15" s="118" t="s">
        <v>159</v>
      </c>
      <c r="D15" s="117">
        <v>40755</v>
      </c>
      <c r="E15" s="119">
        <v>-2</v>
      </c>
      <c r="F15" s="116">
        <v>120</v>
      </c>
      <c r="G15" s="33">
        <f t="shared" si="0"/>
        <v>41.03153745072273</v>
      </c>
      <c r="H15" s="17">
        <f t="shared" si="1"/>
        <v>44407.8</v>
      </c>
      <c r="I15" s="41">
        <f t="shared" si="2"/>
        <v>0.1</v>
      </c>
      <c r="J15" s="120">
        <v>4160</v>
      </c>
      <c r="K15" s="120"/>
      <c r="L15" s="63">
        <f t="shared" si="3"/>
        <v>1422.4266316250546</v>
      </c>
      <c r="M15" s="26">
        <f t="shared" si="4"/>
        <v>547</v>
      </c>
      <c r="N15" s="62">
        <f t="shared" si="5"/>
        <v>622.9522558037669</v>
      </c>
      <c r="O15" s="27">
        <f t="shared" si="6"/>
        <v>4160</v>
      </c>
      <c r="P15" s="27">
        <f t="shared" si="7"/>
        <v>0</v>
      </c>
      <c r="Q15" s="27">
        <f t="shared" si="9"/>
        <v>2045.3788874288216</v>
      </c>
      <c r="R15" s="42">
        <f t="shared" si="8"/>
        <v>2114.6211125711784</v>
      </c>
      <c r="S15" s="25"/>
      <c r="T15" s="43"/>
      <c r="U15" s="44"/>
      <c r="V15" s="45"/>
    </row>
    <row r="16" spans="1:22" s="19" customFormat="1" ht="12.75">
      <c r="A16" s="116" t="s">
        <v>28</v>
      </c>
      <c r="B16" s="118" t="s">
        <v>38</v>
      </c>
      <c r="C16" s="118"/>
      <c r="D16" s="117">
        <v>40816</v>
      </c>
      <c r="E16" s="119">
        <v>-6</v>
      </c>
      <c r="F16" s="116">
        <v>120</v>
      </c>
      <c r="G16" s="33">
        <f t="shared" si="0"/>
        <v>39.02759526938239</v>
      </c>
      <c r="H16" s="17">
        <f t="shared" si="1"/>
        <v>44468.8</v>
      </c>
      <c r="I16" s="41">
        <f t="shared" si="2"/>
        <v>0.1</v>
      </c>
      <c r="J16" s="120">
        <v>63392.86</v>
      </c>
      <c r="K16" s="120"/>
      <c r="L16" s="63">
        <f t="shared" si="3"/>
        <v>20617.257358738498</v>
      </c>
      <c r="M16" s="26">
        <f t="shared" si="4"/>
        <v>547</v>
      </c>
      <c r="N16" s="62">
        <f t="shared" si="5"/>
        <v>9492.962773762592</v>
      </c>
      <c r="O16" s="27">
        <f t="shared" si="6"/>
        <v>63392.86</v>
      </c>
      <c r="P16" s="27">
        <f t="shared" si="7"/>
        <v>0</v>
      </c>
      <c r="Q16" s="27">
        <f t="shared" si="9"/>
        <v>30110.22013250109</v>
      </c>
      <c r="R16" s="42">
        <f t="shared" si="8"/>
        <v>33282.63986749891</v>
      </c>
      <c r="S16" s="25"/>
      <c r="T16" s="43"/>
      <c r="U16" s="44"/>
      <c r="V16" s="45"/>
    </row>
    <row r="17" spans="1:22" s="19" customFormat="1" ht="12.75">
      <c r="A17" s="116" t="s">
        <v>27</v>
      </c>
      <c r="B17" s="118" t="s">
        <v>39</v>
      </c>
      <c r="C17" s="118"/>
      <c r="D17" s="117">
        <v>40909</v>
      </c>
      <c r="E17" s="119">
        <v>-2</v>
      </c>
      <c r="F17" s="116">
        <v>120</v>
      </c>
      <c r="G17" s="33">
        <f t="shared" si="0"/>
        <v>35.972404730617605</v>
      </c>
      <c r="H17" s="17">
        <f t="shared" si="1"/>
        <v>44561.8</v>
      </c>
      <c r="I17" s="41">
        <f t="shared" si="2"/>
        <v>0.1</v>
      </c>
      <c r="J17" s="120">
        <v>29865.26</v>
      </c>
      <c r="K17" s="120"/>
      <c r="L17" s="63">
        <f t="shared" si="3"/>
        <v>8952.710167542706</v>
      </c>
      <c r="M17" s="26">
        <f t="shared" si="4"/>
        <v>547</v>
      </c>
      <c r="N17" s="62">
        <f t="shared" si="5"/>
        <v>4472.26708826106</v>
      </c>
      <c r="O17" s="27">
        <f t="shared" si="6"/>
        <v>29865.26</v>
      </c>
      <c r="P17" s="27">
        <f t="shared" si="7"/>
        <v>0</v>
      </c>
      <c r="Q17" s="27">
        <f t="shared" si="9"/>
        <v>13424.977255803766</v>
      </c>
      <c r="R17" s="42">
        <f t="shared" si="8"/>
        <v>16440.282744196233</v>
      </c>
      <c r="S17" s="25"/>
      <c r="T17" s="44"/>
      <c r="U17" s="44"/>
      <c r="V17" s="45"/>
    </row>
    <row r="18" spans="1:22" s="19" customFormat="1" ht="12.75">
      <c r="A18" s="116" t="s">
        <v>27</v>
      </c>
      <c r="B18" s="118" t="s">
        <v>40</v>
      </c>
      <c r="C18" s="118"/>
      <c r="D18" s="117">
        <v>40909</v>
      </c>
      <c r="E18" s="119">
        <v>-2</v>
      </c>
      <c r="F18" s="116">
        <v>120</v>
      </c>
      <c r="G18" s="33">
        <f t="shared" si="0"/>
        <v>35.972404730617605</v>
      </c>
      <c r="H18" s="17">
        <f t="shared" si="1"/>
        <v>44561.8</v>
      </c>
      <c r="I18" s="41">
        <f t="shared" si="2"/>
        <v>0.1</v>
      </c>
      <c r="J18" s="120">
        <v>51155.66</v>
      </c>
      <c r="K18" s="120"/>
      <c r="L18" s="63">
        <f t="shared" si="3"/>
        <v>15334.934214848881</v>
      </c>
      <c r="M18" s="26">
        <f t="shared" si="4"/>
        <v>547</v>
      </c>
      <c r="N18" s="62">
        <f t="shared" si="5"/>
        <v>7660.464854358301</v>
      </c>
      <c r="O18" s="27">
        <f t="shared" si="6"/>
        <v>51155.66</v>
      </c>
      <c r="P18" s="27">
        <f t="shared" si="7"/>
        <v>0</v>
      </c>
      <c r="Q18" s="27">
        <f t="shared" si="9"/>
        <v>22995.399069207182</v>
      </c>
      <c r="R18" s="42">
        <f t="shared" si="8"/>
        <v>28160.26093079282</v>
      </c>
      <c r="S18" s="25"/>
      <c r="T18" s="44"/>
      <c r="U18" s="44"/>
      <c r="V18" s="45"/>
    </row>
    <row r="19" spans="1:22" s="19" customFormat="1" ht="12.75">
      <c r="A19" s="116" t="s">
        <v>27</v>
      </c>
      <c r="B19" s="118" t="s">
        <v>41</v>
      </c>
      <c r="C19" s="118"/>
      <c r="D19" s="117">
        <v>40909</v>
      </c>
      <c r="E19" s="119">
        <v>-2</v>
      </c>
      <c r="F19" s="116">
        <v>120</v>
      </c>
      <c r="G19" s="33">
        <f t="shared" si="0"/>
        <v>35.972404730617605</v>
      </c>
      <c r="H19" s="17">
        <f t="shared" si="1"/>
        <v>44561.8</v>
      </c>
      <c r="I19" s="41">
        <f t="shared" si="2"/>
        <v>0.1</v>
      </c>
      <c r="J19" s="120">
        <v>12635.26</v>
      </c>
      <c r="K19" s="120"/>
      <c r="L19" s="63">
        <f t="shared" si="3"/>
        <v>3787.6723883048617</v>
      </c>
      <c r="M19" s="26">
        <f t="shared" si="4"/>
        <v>547</v>
      </c>
      <c r="N19" s="62">
        <f t="shared" si="5"/>
        <v>1892.1066633815155</v>
      </c>
      <c r="O19" s="27">
        <f t="shared" si="6"/>
        <v>12635.26</v>
      </c>
      <c r="P19" s="27">
        <f t="shared" si="7"/>
        <v>0</v>
      </c>
      <c r="Q19" s="27">
        <f t="shared" si="9"/>
        <v>5679.779051686377</v>
      </c>
      <c r="R19" s="42">
        <f t="shared" si="8"/>
        <v>6955.480948313623</v>
      </c>
      <c r="S19" s="25"/>
      <c r="T19" s="44"/>
      <c r="U19" s="44"/>
      <c r="V19" s="45"/>
    </row>
    <row r="20" spans="1:22" s="19" customFormat="1" ht="12.75">
      <c r="A20" s="116" t="s">
        <v>27</v>
      </c>
      <c r="B20" s="118" t="s">
        <v>42</v>
      </c>
      <c r="C20" s="118"/>
      <c r="D20" s="117">
        <v>40909</v>
      </c>
      <c r="E20" s="119">
        <v>-2</v>
      </c>
      <c r="F20" s="116">
        <v>120</v>
      </c>
      <c r="G20" s="33">
        <f t="shared" si="0"/>
        <v>35.972404730617605</v>
      </c>
      <c r="H20" s="17">
        <f t="shared" si="1"/>
        <v>44561.8</v>
      </c>
      <c r="I20" s="41">
        <f t="shared" si="2"/>
        <v>0.1</v>
      </c>
      <c r="J20" s="120">
        <v>44635.26</v>
      </c>
      <c r="K20" s="120"/>
      <c r="L20" s="63">
        <f t="shared" si="3"/>
        <v>13380.31364980289</v>
      </c>
      <c r="M20" s="26">
        <f t="shared" si="4"/>
        <v>547</v>
      </c>
      <c r="N20" s="62">
        <f t="shared" si="5"/>
        <v>6684.047092641262</v>
      </c>
      <c r="O20" s="27">
        <f t="shared" si="6"/>
        <v>44635.26</v>
      </c>
      <c r="P20" s="27">
        <f t="shared" si="7"/>
        <v>0</v>
      </c>
      <c r="Q20" s="27">
        <f t="shared" si="9"/>
        <v>20064.36074244415</v>
      </c>
      <c r="R20" s="42">
        <f t="shared" si="8"/>
        <v>24570.89925755585</v>
      </c>
      <c r="S20" s="25"/>
      <c r="T20" s="44"/>
      <c r="U20" s="44"/>
      <c r="V20" s="45"/>
    </row>
    <row r="21" spans="1:22" s="19" customFormat="1" ht="12.75">
      <c r="A21" s="116" t="s">
        <v>27</v>
      </c>
      <c r="B21" s="118" t="s">
        <v>43</v>
      </c>
      <c r="C21" s="118"/>
      <c r="D21" s="117">
        <v>40909</v>
      </c>
      <c r="E21" s="119">
        <v>-2</v>
      </c>
      <c r="F21" s="116">
        <v>120</v>
      </c>
      <c r="G21" s="33">
        <f t="shared" si="0"/>
        <v>35.972404730617605</v>
      </c>
      <c r="H21" s="17">
        <f t="shared" si="1"/>
        <v>44561.8</v>
      </c>
      <c r="I21" s="41">
        <f t="shared" si="2"/>
        <v>0.1</v>
      </c>
      <c r="J21" s="120">
        <v>1635.26</v>
      </c>
      <c r="K21" s="120"/>
      <c r="L21" s="63">
        <f t="shared" si="3"/>
        <v>490.2019546649145</v>
      </c>
      <c r="M21" s="26">
        <f t="shared" si="4"/>
        <v>547</v>
      </c>
      <c r="N21" s="62">
        <f t="shared" si="5"/>
        <v>244.87714082347784</v>
      </c>
      <c r="O21" s="27">
        <f t="shared" si="6"/>
        <v>1635.26</v>
      </c>
      <c r="P21" s="27">
        <f t="shared" si="7"/>
        <v>0</v>
      </c>
      <c r="Q21" s="27">
        <f t="shared" si="9"/>
        <v>735.0790954883923</v>
      </c>
      <c r="R21" s="42">
        <f t="shared" si="8"/>
        <v>900.1809045116077</v>
      </c>
      <c r="S21" s="25"/>
      <c r="T21" s="44"/>
      <c r="U21" s="44"/>
      <c r="V21" s="45"/>
    </row>
    <row r="22" spans="1:22" s="19" customFormat="1" ht="12.75">
      <c r="A22" s="116" t="s">
        <v>27</v>
      </c>
      <c r="B22" s="118" t="s">
        <v>44</v>
      </c>
      <c r="C22" s="118"/>
      <c r="D22" s="117">
        <v>40909</v>
      </c>
      <c r="E22" s="119">
        <v>-2</v>
      </c>
      <c r="F22" s="116">
        <v>120</v>
      </c>
      <c r="G22" s="33">
        <f t="shared" si="0"/>
        <v>35.972404730617605</v>
      </c>
      <c r="H22" s="17">
        <f t="shared" si="1"/>
        <v>44561.8</v>
      </c>
      <c r="I22" s="41">
        <f t="shared" si="2"/>
        <v>0.1</v>
      </c>
      <c r="J22" s="120">
        <v>6935.26</v>
      </c>
      <c r="K22" s="120"/>
      <c r="L22" s="63">
        <f t="shared" si="3"/>
        <v>2078.983163600525</v>
      </c>
      <c r="M22" s="26">
        <f t="shared" si="4"/>
        <v>547</v>
      </c>
      <c r="N22" s="62">
        <f t="shared" si="5"/>
        <v>1038.5422744196233</v>
      </c>
      <c r="O22" s="27">
        <f t="shared" si="6"/>
        <v>6935.26</v>
      </c>
      <c r="P22" s="27">
        <f t="shared" si="7"/>
        <v>0</v>
      </c>
      <c r="Q22" s="27">
        <f t="shared" si="9"/>
        <v>3117.5254380201486</v>
      </c>
      <c r="R22" s="42">
        <f t="shared" si="8"/>
        <v>3817.7345619798516</v>
      </c>
      <c r="S22" s="25"/>
      <c r="T22" s="44"/>
      <c r="U22" s="44"/>
      <c r="V22" s="45"/>
    </row>
    <row r="23" spans="1:22" s="19" customFormat="1" ht="12.75">
      <c r="A23" s="116" t="s">
        <v>27</v>
      </c>
      <c r="B23" s="118" t="s">
        <v>44</v>
      </c>
      <c r="C23" s="118"/>
      <c r="D23" s="117">
        <v>40909</v>
      </c>
      <c r="E23" s="119">
        <v>-2</v>
      </c>
      <c r="F23" s="116">
        <v>120</v>
      </c>
      <c r="G23" s="33">
        <f t="shared" si="0"/>
        <v>35.972404730617605</v>
      </c>
      <c r="H23" s="17">
        <f t="shared" si="1"/>
        <v>44561.8</v>
      </c>
      <c r="I23" s="41">
        <f t="shared" si="2"/>
        <v>0.1</v>
      </c>
      <c r="J23" s="120">
        <v>5835.26</v>
      </c>
      <c r="K23" s="120"/>
      <c r="L23" s="63">
        <f t="shared" si="3"/>
        <v>1749.2361202365307</v>
      </c>
      <c r="M23" s="26">
        <f t="shared" si="4"/>
        <v>547</v>
      </c>
      <c r="N23" s="62">
        <f t="shared" si="5"/>
        <v>873.8193221638195</v>
      </c>
      <c r="O23" s="27">
        <f t="shared" si="6"/>
        <v>5835.26</v>
      </c>
      <c r="P23" s="27">
        <f t="shared" si="7"/>
        <v>0</v>
      </c>
      <c r="Q23" s="27">
        <f t="shared" si="9"/>
        <v>2623.0554424003503</v>
      </c>
      <c r="R23" s="42">
        <f t="shared" si="8"/>
        <v>3212.20455759965</v>
      </c>
      <c r="S23" s="25"/>
      <c r="T23" s="44"/>
      <c r="U23" s="44"/>
      <c r="V23" s="45"/>
    </row>
    <row r="24" spans="1:22" s="19" customFormat="1" ht="12.75">
      <c r="A24" s="116" t="s">
        <v>27</v>
      </c>
      <c r="B24" s="118" t="s">
        <v>44</v>
      </c>
      <c r="C24" s="118"/>
      <c r="D24" s="117">
        <v>40909</v>
      </c>
      <c r="E24" s="119">
        <v>-2</v>
      </c>
      <c r="F24" s="116">
        <v>120</v>
      </c>
      <c r="G24" s="33">
        <f t="shared" si="0"/>
        <v>35.972404730617605</v>
      </c>
      <c r="H24" s="17">
        <f t="shared" si="1"/>
        <v>44561.8</v>
      </c>
      <c r="I24" s="41">
        <f t="shared" si="2"/>
        <v>0.1</v>
      </c>
      <c r="J24" s="120">
        <v>7635.26</v>
      </c>
      <c r="K24" s="120"/>
      <c r="L24" s="63">
        <f t="shared" si="3"/>
        <v>2288.822191195795</v>
      </c>
      <c r="M24" s="26">
        <f t="shared" si="4"/>
        <v>547</v>
      </c>
      <c r="N24" s="62">
        <f t="shared" si="5"/>
        <v>1143.3659713096804</v>
      </c>
      <c r="O24" s="27">
        <f t="shared" si="6"/>
        <v>7635.26</v>
      </c>
      <c r="P24" s="27">
        <f t="shared" si="7"/>
        <v>0</v>
      </c>
      <c r="Q24" s="27">
        <f t="shared" si="9"/>
        <v>3432.1881625054752</v>
      </c>
      <c r="R24" s="42">
        <f t="shared" si="8"/>
        <v>4203.0718374945245</v>
      </c>
      <c r="S24" s="25"/>
      <c r="T24" s="44"/>
      <c r="U24" s="44"/>
      <c r="V24" s="45"/>
    </row>
    <row r="25" spans="1:22" s="19" customFormat="1" ht="12.75">
      <c r="A25" s="116" t="s">
        <v>27</v>
      </c>
      <c r="B25" s="118" t="s">
        <v>45</v>
      </c>
      <c r="C25" s="118"/>
      <c r="D25" s="117">
        <v>40909</v>
      </c>
      <c r="E25" s="119">
        <v>-2</v>
      </c>
      <c r="F25" s="116">
        <v>120</v>
      </c>
      <c r="G25" s="33">
        <f t="shared" si="0"/>
        <v>35.972404730617605</v>
      </c>
      <c r="H25" s="17">
        <f t="shared" si="1"/>
        <v>44561.8</v>
      </c>
      <c r="I25" s="41">
        <f t="shared" si="2"/>
        <v>0.1</v>
      </c>
      <c r="J25" s="120">
        <v>5935.26</v>
      </c>
      <c r="K25" s="120"/>
      <c r="L25" s="63">
        <f t="shared" si="3"/>
        <v>1779.2131241787122</v>
      </c>
      <c r="M25" s="26">
        <f t="shared" si="4"/>
        <v>547</v>
      </c>
      <c r="N25" s="62">
        <f t="shared" si="5"/>
        <v>888.7941360052563</v>
      </c>
      <c r="O25" s="27">
        <f t="shared" si="6"/>
        <v>5935.26</v>
      </c>
      <c r="P25" s="27">
        <f t="shared" si="7"/>
        <v>0</v>
      </c>
      <c r="Q25" s="27">
        <f t="shared" si="9"/>
        <v>2668.0072601839684</v>
      </c>
      <c r="R25" s="42">
        <f t="shared" si="8"/>
        <v>3267.252739816032</v>
      </c>
      <c r="S25" s="25"/>
      <c r="T25" s="44"/>
      <c r="U25" s="44"/>
      <c r="V25" s="45"/>
    </row>
    <row r="26" spans="1:22" s="19" customFormat="1" ht="12.75">
      <c r="A26" s="116" t="s">
        <v>27</v>
      </c>
      <c r="B26" s="118" t="s">
        <v>46</v>
      </c>
      <c r="C26" s="118"/>
      <c r="D26" s="117">
        <v>40909</v>
      </c>
      <c r="E26" s="119">
        <v>-2</v>
      </c>
      <c r="F26" s="116">
        <v>120</v>
      </c>
      <c r="G26" s="33">
        <f t="shared" si="0"/>
        <v>35.972404730617605</v>
      </c>
      <c r="H26" s="17">
        <f t="shared" si="1"/>
        <v>44561.8</v>
      </c>
      <c r="I26" s="41">
        <f t="shared" si="2"/>
        <v>0.1</v>
      </c>
      <c r="J26" s="120">
        <v>5935.26</v>
      </c>
      <c r="K26" s="120"/>
      <c r="L26" s="63">
        <f t="shared" si="3"/>
        <v>1779.2131241787122</v>
      </c>
      <c r="M26" s="26">
        <f t="shared" si="4"/>
        <v>547</v>
      </c>
      <c r="N26" s="62">
        <f t="shared" si="5"/>
        <v>888.7941360052563</v>
      </c>
      <c r="O26" s="27">
        <f t="shared" si="6"/>
        <v>5935.26</v>
      </c>
      <c r="P26" s="27">
        <f t="shared" si="7"/>
        <v>0</v>
      </c>
      <c r="Q26" s="27">
        <f t="shared" si="9"/>
        <v>2668.0072601839684</v>
      </c>
      <c r="R26" s="42">
        <f t="shared" si="8"/>
        <v>3267.252739816032</v>
      </c>
      <c r="S26" s="25"/>
      <c r="T26" s="44"/>
      <c r="U26" s="44"/>
      <c r="V26" s="45"/>
    </row>
    <row r="27" spans="1:22" s="19" customFormat="1" ht="12.75">
      <c r="A27" s="116" t="s">
        <v>27</v>
      </c>
      <c r="B27" s="118" t="s">
        <v>47</v>
      </c>
      <c r="C27" s="118"/>
      <c r="D27" s="117">
        <v>40909</v>
      </c>
      <c r="E27" s="119">
        <v>-2</v>
      </c>
      <c r="F27" s="116">
        <v>120</v>
      </c>
      <c r="G27" s="33">
        <f t="shared" si="0"/>
        <v>35.972404730617605</v>
      </c>
      <c r="H27" s="17">
        <f t="shared" si="1"/>
        <v>44561.8</v>
      </c>
      <c r="I27" s="41">
        <f t="shared" si="2"/>
        <v>0.1</v>
      </c>
      <c r="J27" s="120">
        <v>5935.26</v>
      </c>
      <c r="K27" s="120"/>
      <c r="L27" s="63">
        <f t="shared" si="3"/>
        <v>1779.2131241787122</v>
      </c>
      <c r="M27" s="26">
        <f t="shared" si="4"/>
        <v>547</v>
      </c>
      <c r="N27" s="62">
        <f t="shared" si="5"/>
        <v>888.7941360052563</v>
      </c>
      <c r="O27" s="27">
        <f t="shared" si="6"/>
        <v>5935.26</v>
      </c>
      <c r="P27" s="27">
        <f t="shared" si="7"/>
        <v>0</v>
      </c>
      <c r="Q27" s="27">
        <f t="shared" si="9"/>
        <v>2668.0072601839684</v>
      </c>
      <c r="R27" s="42">
        <f t="shared" si="8"/>
        <v>3267.252739816032</v>
      </c>
      <c r="S27" s="25"/>
      <c r="T27" s="44"/>
      <c r="U27" s="44"/>
      <c r="V27" s="45"/>
    </row>
    <row r="28" spans="1:22" s="19" customFormat="1" ht="12.75">
      <c r="A28" s="116" t="s">
        <v>27</v>
      </c>
      <c r="B28" s="118" t="s">
        <v>48</v>
      </c>
      <c r="C28" s="118"/>
      <c r="D28" s="117">
        <v>40909</v>
      </c>
      <c r="E28" s="119">
        <v>-2</v>
      </c>
      <c r="F28" s="116">
        <v>120</v>
      </c>
      <c r="G28" s="33">
        <f t="shared" si="0"/>
        <v>35.972404730617605</v>
      </c>
      <c r="H28" s="17">
        <f t="shared" si="1"/>
        <v>44561.8</v>
      </c>
      <c r="I28" s="41">
        <f t="shared" si="2"/>
        <v>0.1</v>
      </c>
      <c r="J28" s="120">
        <v>5935.26</v>
      </c>
      <c r="K28" s="120"/>
      <c r="L28" s="63">
        <f t="shared" si="3"/>
        <v>1779.2131241787122</v>
      </c>
      <c r="M28" s="26">
        <f t="shared" si="4"/>
        <v>547</v>
      </c>
      <c r="N28" s="62">
        <f t="shared" si="5"/>
        <v>888.7941360052563</v>
      </c>
      <c r="O28" s="27">
        <f t="shared" si="6"/>
        <v>5935.26</v>
      </c>
      <c r="P28" s="27">
        <f t="shared" si="7"/>
        <v>0</v>
      </c>
      <c r="Q28" s="27">
        <f t="shared" si="9"/>
        <v>2668.0072601839684</v>
      </c>
      <c r="R28" s="42">
        <f t="shared" si="8"/>
        <v>3267.252739816032</v>
      </c>
      <c r="S28" s="25"/>
      <c r="T28" s="44"/>
      <c r="U28" s="44"/>
      <c r="V28" s="45"/>
    </row>
    <row r="29" spans="1:22" s="19" customFormat="1" ht="12.75">
      <c r="A29" s="116" t="s">
        <v>27</v>
      </c>
      <c r="B29" s="118" t="s">
        <v>49</v>
      </c>
      <c r="C29" s="118"/>
      <c r="D29" s="117">
        <v>40909</v>
      </c>
      <c r="E29" s="119">
        <v>-2</v>
      </c>
      <c r="F29" s="116">
        <v>120</v>
      </c>
      <c r="G29" s="33">
        <f t="shared" si="0"/>
        <v>35.972404730617605</v>
      </c>
      <c r="H29" s="17">
        <f t="shared" si="1"/>
        <v>44561.8</v>
      </c>
      <c r="I29" s="41">
        <f t="shared" si="2"/>
        <v>0.1</v>
      </c>
      <c r="J29" s="120">
        <v>1335.26</v>
      </c>
      <c r="K29" s="120"/>
      <c r="L29" s="63">
        <f t="shared" si="3"/>
        <v>400.2709428383705</v>
      </c>
      <c r="M29" s="26">
        <f t="shared" si="4"/>
        <v>547</v>
      </c>
      <c r="N29" s="62">
        <f t="shared" si="5"/>
        <v>199.95269929916773</v>
      </c>
      <c r="O29" s="27">
        <f t="shared" si="6"/>
        <v>1335.26</v>
      </c>
      <c r="P29" s="27">
        <f t="shared" si="7"/>
        <v>0</v>
      </c>
      <c r="Q29" s="27">
        <f t="shared" si="9"/>
        <v>600.2236421375383</v>
      </c>
      <c r="R29" s="42">
        <f t="shared" si="8"/>
        <v>735.0363578624617</v>
      </c>
      <c r="S29" s="25"/>
      <c r="T29" s="44"/>
      <c r="U29" s="44"/>
      <c r="V29" s="45"/>
    </row>
    <row r="30" spans="1:22" s="19" customFormat="1" ht="12.75">
      <c r="A30" s="116" t="s">
        <v>27</v>
      </c>
      <c r="B30" s="118" t="s">
        <v>50</v>
      </c>
      <c r="C30" s="118"/>
      <c r="D30" s="117">
        <v>40909</v>
      </c>
      <c r="E30" s="119">
        <v>-2</v>
      </c>
      <c r="F30" s="116">
        <v>120</v>
      </c>
      <c r="G30" s="33">
        <f t="shared" si="0"/>
        <v>35.972404730617605</v>
      </c>
      <c r="H30" s="17">
        <f t="shared" si="1"/>
        <v>44561.8</v>
      </c>
      <c r="I30" s="41">
        <f t="shared" si="2"/>
        <v>0.1</v>
      </c>
      <c r="J30" s="120">
        <v>1175.26</v>
      </c>
      <c r="K30" s="120"/>
      <c r="L30" s="63">
        <f t="shared" si="3"/>
        <v>352.3077365308804</v>
      </c>
      <c r="M30" s="26">
        <f t="shared" si="4"/>
        <v>547</v>
      </c>
      <c r="N30" s="62">
        <f t="shared" si="5"/>
        <v>175.992997152869</v>
      </c>
      <c r="O30" s="27">
        <f t="shared" si="6"/>
        <v>1175.26</v>
      </c>
      <c r="P30" s="27">
        <f t="shared" si="7"/>
        <v>0</v>
      </c>
      <c r="Q30" s="27">
        <f t="shared" si="9"/>
        <v>528.3007336837494</v>
      </c>
      <c r="R30" s="42">
        <f t="shared" si="8"/>
        <v>646.9592663162506</v>
      </c>
      <c r="S30" s="25"/>
      <c r="T30" s="44"/>
      <c r="U30" s="44"/>
      <c r="V30" s="45"/>
    </row>
    <row r="31" spans="1:22" s="19" customFormat="1" ht="12.75">
      <c r="A31" s="116" t="s">
        <v>27</v>
      </c>
      <c r="B31" s="118" t="s">
        <v>51</v>
      </c>
      <c r="C31" s="118"/>
      <c r="D31" s="117">
        <v>40909</v>
      </c>
      <c r="E31" s="119">
        <v>-2</v>
      </c>
      <c r="F31" s="116">
        <v>120</v>
      </c>
      <c r="G31" s="33">
        <f t="shared" si="0"/>
        <v>35.972404730617605</v>
      </c>
      <c r="H31" s="17">
        <f t="shared" si="1"/>
        <v>44561.8</v>
      </c>
      <c r="I31" s="41">
        <f t="shared" si="2"/>
        <v>0.1</v>
      </c>
      <c r="J31" s="120">
        <v>18835.26</v>
      </c>
      <c r="K31" s="120"/>
      <c r="L31" s="63">
        <f t="shared" si="3"/>
        <v>5646.246632720105</v>
      </c>
      <c r="M31" s="26">
        <f t="shared" si="4"/>
        <v>547</v>
      </c>
      <c r="N31" s="62">
        <f t="shared" si="5"/>
        <v>2820.545121550591</v>
      </c>
      <c r="O31" s="27">
        <f t="shared" si="6"/>
        <v>18835.26</v>
      </c>
      <c r="P31" s="27">
        <f t="shared" si="7"/>
        <v>0</v>
      </c>
      <c r="Q31" s="27">
        <f t="shared" si="9"/>
        <v>8466.791754270696</v>
      </c>
      <c r="R31" s="42">
        <f t="shared" si="8"/>
        <v>10368.468245729302</v>
      </c>
      <c r="S31" s="25"/>
      <c r="T31" s="44"/>
      <c r="U31" s="44"/>
      <c r="V31" s="45"/>
    </row>
    <row r="32" spans="1:22" s="19" customFormat="1" ht="12.75">
      <c r="A32" s="116" t="s">
        <v>27</v>
      </c>
      <c r="B32" s="118" t="s">
        <v>51</v>
      </c>
      <c r="C32" s="118"/>
      <c r="D32" s="117">
        <v>40909</v>
      </c>
      <c r="E32" s="119">
        <v>-2</v>
      </c>
      <c r="F32" s="116">
        <v>120</v>
      </c>
      <c r="G32" s="33">
        <f t="shared" si="0"/>
        <v>35.972404730617605</v>
      </c>
      <c r="H32" s="17">
        <f t="shared" si="1"/>
        <v>44561.8</v>
      </c>
      <c r="I32" s="41">
        <f t="shared" si="2"/>
        <v>0.1</v>
      </c>
      <c r="J32" s="120">
        <v>22735.26</v>
      </c>
      <c r="K32" s="120"/>
      <c r="L32" s="63">
        <f t="shared" si="3"/>
        <v>6815.349786465176</v>
      </c>
      <c r="M32" s="26">
        <f t="shared" si="4"/>
        <v>547</v>
      </c>
      <c r="N32" s="62">
        <f t="shared" si="5"/>
        <v>3404.562861366622</v>
      </c>
      <c r="O32" s="27">
        <f t="shared" si="6"/>
        <v>22735.26</v>
      </c>
      <c r="P32" s="27">
        <f t="shared" si="7"/>
        <v>0</v>
      </c>
      <c r="Q32" s="27">
        <f t="shared" si="9"/>
        <v>10219.9126478318</v>
      </c>
      <c r="R32" s="42">
        <f t="shared" si="8"/>
        <v>12515.347352168199</v>
      </c>
      <c r="S32" s="25"/>
      <c r="T32" s="44"/>
      <c r="U32" s="44"/>
      <c r="V32" s="45"/>
    </row>
    <row r="33" spans="1:22" s="19" customFormat="1" ht="12.75">
      <c r="A33" s="116" t="s">
        <v>27</v>
      </c>
      <c r="B33" s="118" t="s">
        <v>52</v>
      </c>
      <c r="C33" s="118"/>
      <c r="D33" s="117">
        <v>40909</v>
      </c>
      <c r="E33" s="119">
        <v>-2</v>
      </c>
      <c r="F33" s="116">
        <v>120</v>
      </c>
      <c r="G33" s="33">
        <f t="shared" si="0"/>
        <v>35.972404730617605</v>
      </c>
      <c r="H33" s="17">
        <f t="shared" si="1"/>
        <v>44561.8</v>
      </c>
      <c r="I33" s="41">
        <f t="shared" si="2"/>
        <v>0.1</v>
      </c>
      <c r="J33" s="120">
        <v>12136</v>
      </c>
      <c r="K33" s="120"/>
      <c r="L33" s="63">
        <f t="shared" si="3"/>
        <v>3638.009198423127</v>
      </c>
      <c r="M33" s="26">
        <f t="shared" si="4"/>
        <v>547</v>
      </c>
      <c r="N33" s="62">
        <f t="shared" si="5"/>
        <v>1817.3434077967586</v>
      </c>
      <c r="O33" s="27">
        <f t="shared" si="6"/>
        <v>12136</v>
      </c>
      <c r="P33" s="27">
        <f t="shared" si="7"/>
        <v>0</v>
      </c>
      <c r="Q33" s="27">
        <f t="shared" si="9"/>
        <v>5455.352606219885</v>
      </c>
      <c r="R33" s="42">
        <f t="shared" si="8"/>
        <v>6680.647393780115</v>
      </c>
      <c r="S33" s="25"/>
      <c r="T33" s="44"/>
      <c r="U33" s="44"/>
      <c r="V33" s="45"/>
    </row>
    <row r="34" spans="1:22" s="19" customFormat="1" ht="12.75">
      <c r="A34" s="116" t="s">
        <v>27</v>
      </c>
      <c r="B34" s="118" t="s">
        <v>53</v>
      </c>
      <c r="C34" s="118"/>
      <c r="D34" s="117">
        <v>40909</v>
      </c>
      <c r="E34" s="119">
        <v>-2</v>
      </c>
      <c r="F34" s="116">
        <v>120</v>
      </c>
      <c r="G34" s="33">
        <f t="shared" si="0"/>
        <v>35.972404730617605</v>
      </c>
      <c r="H34" s="17">
        <f t="shared" si="1"/>
        <v>44561.8</v>
      </c>
      <c r="I34" s="41">
        <f t="shared" si="2"/>
        <v>0.1</v>
      </c>
      <c r="J34" s="120">
        <v>12135.26</v>
      </c>
      <c r="K34" s="120"/>
      <c r="L34" s="63">
        <f t="shared" si="3"/>
        <v>3637.787368593955</v>
      </c>
      <c r="M34" s="26">
        <f t="shared" si="4"/>
        <v>547</v>
      </c>
      <c r="N34" s="62">
        <f t="shared" si="5"/>
        <v>1817.232594174332</v>
      </c>
      <c r="O34" s="27">
        <f t="shared" si="6"/>
        <v>12135.26</v>
      </c>
      <c r="P34" s="27">
        <f t="shared" si="7"/>
        <v>0</v>
      </c>
      <c r="Q34" s="27">
        <f t="shared" si="9"/>
        <v>5455.019962768287</v>
      </c>
      <c r="R34" s="42">
        <f t="shared" si="8"/>
        <v>6680.240037231713</v>
      </c>
      <c r="S34" s="25"/>
      <c r="T34" s="44"/>
      <c r="U34" s="44"/>
      <c r="V34" s="45"/>
    </row>
    <row r="35" spans="1:22" s="19" customFormat="1" ht="12.75">
      <c r="A35" s="116" t="s">
        <v>27</v>
      </c>
      <c r="B35" s="118" t="s">
        <v>54</v>
      </c>
      <c r="C35" s="118"/>
      <c r="D35" s="117">
        <v>40909</v>
      </c>
      <c r="E35" s="119">
        <v>-2</v>
      </c>
      <c r="F35" s="116">
        <v>120</v>
      </c>
      <c r="G35" s="33">
        <f t="shared" si="0"/>
        <v>35.972404730617605</v>
      </c>
      <c r="H35" s="17">
        <f t="shared" si="1"/>
        <v>44561.8</v>
      </c>
      <c r="I35" s="41">
        <f t="shared" si="2"/>
        <v>0.1</v>
      </c>
      <c r="J35" s="120">
        <v>12135.26</v>
      </c>
      <c r="K35" s="120"/>
      <c r="L35" s="63">
        <f t="shared" si="3"/>
        <v>3637.787368593955</v>
      </c>
      <c r="M35" s="26">
        <f t="shared" si="4"/>
        <v>547</v>
      </c>
      <c r="N35" s="62">
        <f t="shared" si="5"/>
        <v>1817.232594174332</v>
      </c>
      <c r="O35" s="27">
        <f t="shared" si="6"/>
        <v>12135.26</v>
      </c>
      <c r="P35" s="27">
        <f t="shared" si="7"/>
        <v>0</v>
      </c>
      <c r="Q35" s="27">
        <f t="shared" si="9"/>
        <v>5455.019962768287</v>
      </c>
      <c r="R35" s="42">
        <f t="shared" si="8"/>
        <v>6680.240037231713</v>
      </c>
      <c r="S35" s="25"/>
      <c r="T35" s="44"/>
      <c r="U35" s="44"/>
      <c r="V35" s="45"/>
    </row>
    <row r="36" spans="1:22" s="19" customFormat="1" ht="12.75">
      <c r="A36" s="116" t="s">
        <v>27</v>
      </c>
      <c r="B36" s="118" t="s">
        <v>55</v>
      </c>
      <c r="C36" s="118"/>
      <c r="D36" s="117">
        <v>40909</v>
      </c>
      <c r="E36" s="119">
        <v>-2</v>
      </c>
      <c r="F36" s="116">
        <v>120</v>
      </c>
      <c r="G36" s="33">
        <f t="shared" si="0"/>
        <v>35.972404730617605</v>
      </c>
      <c r="H36" s="17">
        <f t="shared" si="1"/>
        <v>44561.8</v>
      </c>
      <c r="I36" s="41">
        <f t="shared" si="2"/>
        <v>0.1</v>
      </c>
      <c r="J36" s="120">
        <v>29235.26</v>
      </c>
      <c r="K36" s="120"/>
      <c r="L36" s="63">
        <f t="shared" si="3"/>
        <v>8763.855042706964</v>
      </c>
      <c r="M36" s="26">
        <f t="shared" si="4"/>
        <v>547</v>
      </c>
      <c r="N36" s="62">
        <f t="shared" si="5"/>
        <v>4377.925761060009</v>
      </c>
      <c r="O36" s="27">
        <f t="shared" si="6"/>
        <v>29235.26</v>
      </c>
      <c r="P36" s="27">
        <f t="shared" si="7"/>
        <v>0</v>
      </c>
      <c r="Q36" s="27">
        <f t="shared" si="9"/>
        <v>13141.780803766973</v>
      </c>
      <c r="R36" s="42">
        <f t="shared" si="8"/>
        <v>16093.479196233026</v>
      </c>
      <c r="S36" s="25"/>
      <c r="T36" s="44"/>
      <c r="U36" s="44"/>
      <c r="V36" s="45"/>
    </row>
    <row r="37" spans="1:22" s="19" customFormat="1" ht="12.75">
      <c r="A37" s="116" t="s">
        <v>27</v>
      </c>
      <c r="B37" s="118" t="s">
        <v>56</v>
      </c>
      <c r="C37" s="118"/>
      <c r="D37" s="117">
        <v>40909</v>
      </c>
      <c r="E37" s="119">
        <v>-2</v>
      </c>
      <c r="F37" s="116">
        <v>120</v>
      </c>
      <c r="G37" s="33">
        <f t="shared" si="0"/>
        <v>35.972404730617605</v>
      </c>
      <c r="H37" s="17">
        <f t="shared" si="1"/>
        <v>44561.8</v>
      </c>
      <c r="I37" s="41">
        <f t="shared" si="2"/>
        <v>0.1</v>
      </c>
      <c r="J37" s="120">
        <v>29235.26</v>
      </c>
      <c r="K37" s="120"/>
      <c r="L37" s="63">
        <f t="shared" si="3"/>
        <v>8763.855042706964</v>
      </c>
      <c r="M37" s="26">
        <f t="shared" si="4"/>
        <v>547</v>
      </c>
      <c r="N37" s="62">
        <f t="shared" si="5"/>
        <v>4377.925761060009</v>
      </c>
      <c r="O37" s="27">
        <f t="shared" si="6"/>
        <v>29235.26</v>
      </c>
      <c r="P37" s="27">
        <f t="shared" si="7"/>
        <v>0</v>
      </c>
      <c r="Q37" s="27">
        <f t="shared" si="9"/>
        <v>13141.780803766973</v>
      </c>
      <c r="R37" s="42">
        <f t="shared" si="8"/>
        <v>16093.479196233026</v>
      </c>
      <c r="S37" s="25"/>
      <c r="T37" s="44"/>
      <c r="U37" s="44"/>
      <c r="V37" s="45"/>
    </row>
    <row r="38" spans="1:22" s="19" customFormat="1" ht="12.75">
      <c r="A38" s="116" t="s">
        <v>27</v>
      </c>
      <c r="B38" s="118" t="s">
        <v>57</v>
      </c>
      <c r="C38" s="118"/>
      <c r="D38" s="117">
        <v>40909</v>
      </c>
      <c r="E38" s="119">
        <v>-2</v>
      </c>
      <c r="F38" s="116">
        <v>120</v>
      </c>
      <c r="G38" s="33">
        <f t="shared" si="0"/>
        <v>35.972404730617605</v>
      </c>
      <c r="H38" s="17">
        <f t="shared" si="1"/>
        <v>44561.8</v>
      </c>
      <c r="I38" s="41">
        <f t="shared" si="2"/>
        <v>0.1</v>
      </c>
      <c r="J38" s="120">
        <v>29235.26</v>
      </c>
      <c r="K38" s="120"/>
      <c r="L38" s="63">
        <f t="shared" si="3"/>
        <v>8763.855042706964</v>
      </c>
      <c r="M38" s="26">
        <f t="shared" si="4"/>
        <v>547</v>
      </c>
      <c r="N38" s="62">
        <f t="shared" si="5"/>
        <v>4377.925761060009</v>
      </c>
      <c r="O38" s="27">
        <f t="shared" si="6"/>
        <v>29235.26</v>
      </c>
      <c r="P38" s="27">
        <f t="shared" si="7"/>
        <v>0</v>
      </c>
      <c r="Q38" s="27">
        <f t="shared" si="9"/>
        <v>13141.780803766973</v>
      </c>
      <c r="R38" s="42">
        <f t="shared" si="8"/>
        <v>16093.479196233026</v>
      </c>
      <c r="S38" s="25"/>
      <c r="T38" s="44"/>
      <c r="U38" s="44"/>
      <c r="V38" s="45"/>
    </row>
    <row r="39" spans="1:22" s="19" customFormat="1" ht="12.75">
      <c r="A39" s="116" t="s">
        <v>27</v>
      </c>
      <c r="B39" s="118" t="s">
        <v>58</v>
      </c>
      <c r="C39" s="118"/>
      <c r="D39" s="117">
        <v>40909</v>
      </c>
      <c r="E39" s="119">
        <v>-2</v>
      </c>
      <c r="F39" s="116">
        <v>120</v>
      </c>
      <c r="G39" s="33">
        <f aca="true" t="shared" si="10" ref="G39:G70">+IF((($J$5-D39)/30.44)&gt;F39,F39,IF((($J$5-D39)/30.44)&lt;1,0,(($J$5-D39)/30.44)))</f>
        <v>35.972404730617605</v>
      </c>
      <c r="H39" s="17">
        <f aca="true" t="shared" si="11" ref="H39:H70">+D39+F39*30.44</f>
        <v>44561.8</v>
      </c>
      <c r="I39" s="41">
        <f aca="true" t="shared" si="12" ref="I39:I70">_xlfn.IFERROR(((100/(F39/12))/100),0)</f>
        <v>0.1</v>
      </c>
      <c r="J39" s="120">
        <v>9935.26</v>
      </c>
      <c r="K39" s="120"/>
      <c r="L39" s="63">
        <f aca="true" t="shared" si="13" ref="L39:L70">_xlfn.IFERROR(((J39-K39)/F39*G39),0)</f>
        <v>2978.2932818659656</v>
      </c>
      <c r="M39" s="26">
        <f aca="true" t="shared" si="14" ref="M39:M70">IF((IF(AND(D39&gt;$J$5,$O$5&lt;H39),$O$5-D39,IF(H39&lt;$O$5,H39-$J$5,$O$5-$J$5)))&lt;=0,0,(IF(AND(D39&gt;$J$5,$O$5&lt;H39),$O$5-D39,IF(H39&lt;$O$5,H39-$J$5,$O$5-$J$5))))</f>
        <v>547</v>
      </c>
      <c r="N39" s="62">
        <f aca="true" t="shared" si="15" ref="N39:N70">_xlfn.IFERROR(((J39-K39)/F39*M39/30.44),0)</f>
        <v>1487.7866896627245</v>
      </c>
      <c r="O39" s="27">
        <f t="shared" si="6"/>
        <v>9935.26</v>
      </c>
      <c r="P39" s="27">
        <f t="shared" si="7"/>
        <v>0</v>
      </c>
      <c r="Q39" s="27">
        <f t="shared" si="9"/>
        <v>4466.07997152869</v>
      </c>
      <c r="R39" s="42">
        <f t="shared" si="8"/>
        <v>5469.18002847131</v>
      </c>
      <c r="S39" s="25"/>
      <c r="T39" s="44"/>
      <c r="U39" s="44"/>
      <c r="V39" s="45"/>
    </row>
    <row r="40" spans="1:22" s="19" customFormat="1" ht="12.75">
      <c r="A40" s="116" t="s">
        <v>27</v>
      </c>
      <c r="B40" s="118" t="s">
        <v>59</v>
      </c>
      <c r="C40" s="118"/>
      <c r="D40" s="117">
        <v>40909</v>
      </c>
      <c r="E40" s="119">
        <v>-2</v>
      </c>
      <c r="F40" s="116">
        <v>120</v>
      </c>
      <c r="G40" s="33">
        <f t="shared" si="10"/>
        <v>35.972404730617605</v>
      </c>
      <c r="H40" s="17">
        <f t="shared" si="11"/>
        <v>44561.8</v>
      </c>
      <c r="I40" s="41">
        <f t="shared" si="12"/>
        <v>0.1</v>
      </c>
      <c r="J40" s="120">
        <v>30635.26</v>
      </c>
      <c r="K40" s="120"/>
      <c r="L40" s="63">
        <f t="shared" si="13"/>
        <v>9183.533097897502</v>
      </c>
      <c r="M40" s="26">
        <f t="shared" si="14"/>
        <v>547</v>
      </c>
      <c r="N40" s="62">
        <f t="shared" si="15"/>
        <v>4587.573154840122</v>
      </c>
      <c r="O40" s="27">
        <f t="shared" si="6"/>
        <v>30635.26</v>
      </c>
      <c r="P40" s="27">
        <f t="shared" si="7"/>
        <v>0</v>
      </c>
      <c r="Q40" s="27">
        <f t="shared" si="9"/>
        <v>13771.106252737623</v>
      </c>
      <c r="R40" s="42">
        <f t="shared" si="8"/>
        <v>16864.153747262375</v>
      </c>
      <c r="S40" s="25"/>
      <c r="T40" s="44"/>
      <c r="U40" s="44"/>
      <c r="V40" s="45"/>
    </row>
    <row r="41" spans="1:22" s="19" customFormat="1" ht="12.75">
      <c r="A41" s="116" t="s">
        <v>27</v>
      </c>
      <c r="B41" s="118" t="s">
        <v>60</v>
      </c>
      <c r="C41" s="118"/>
      <c r="D41" s="117">
        <v>40909</v>
      </c>
      <c r="E41" s="119">
        <v>-2</v>
      </c>
      <c r="F41" s="116">
        <v>120</v>
      </c>
      <c r="G41" s="33">
        <f t="shared" si="10"/>
        <v>35.972404730617605</v>
      </c>
      <c r="H41" s="17">
        <f t="shared" si="11"/>
        <v>44561.8</v>
      </c>
      <c r="I41" s="41">
        <f t="shared" si="12"/>
        <v>0.1</v>
      </c>
      <c r="J41" s="120">
        <v>85635.26</v>
      </c>
      <c r="K41" s="120"/>
      <c r="L41" s="63">
        <f t="shared" si="13"/>
        <v>25670.885266097237</v>
      </c>
      <c r="M41" s="26">
        <f t="shared" si="14"/>
        <v>547</v>
      </c>
      <c r="N41" s="62">
        <f t="shared" si="15"/>
        <v>12823.72076763031</v>
      </c>
      <c r="O41" s="27">
        <f t="shared" si="6"/>
        <v>85635.26</v>
      </c>
      <c r="P41" s="27">
        <f t="shared" si="7"/>
        <v>0</v>
      </c>
      <c r="Q41" s="27">
        <f t="shared" si="9"/>
        <v>38494.60603372755</v>
      </c>
      <c r="R41" s="42">
        <f t="shared" si="8"/>
        <v>47140.653966272446</v>
      </c>
      <c r="S41" s="25"/>
      <c r="T41" s="44"/>
      <c r="U41" s="44"/>
      <c r="V41" s="45"/>
    </row>
    <row r="42" spans="1:22" s="19" customFormat="1" ht="12.75">
      <c r="A42" s="116" t="s">
        <v>27</v>
      </c>
      <c r="B42" s="118" t="s">
        <v>61</v>
      </c>
      <c r="C42" s="118"/>
      <c r="D42" s="117">
        <v>40909</v>
      </c>
      <c r="E42" s="119">
        <v>-2</v>
      </c>
      <c r="F42" s="116">
        <v>120</v>
      </c>
      <c r="G42" s="33">
        <f t="shared" si="10"/>
        <v>35.972404730617605</v>
      </c>
      <c r="H42" s="17">
        <f t="shared" si="11"/>
        <v>44561.8</v>
      </c>
      <c r="I42" s="41">
        <f t="shared" si="12"/>
        <v>0.1</v>
      </c>
      <c r="J42" s="120">
        <v>2135.26</v>
      </c>
      <c r="K42" s="120"/>
      <c r="L42" s="63">
        <f t="shared" si="13"/>
        <v>640.0869743758213</v>
      </c>
      <c r="M42" s="26">
        <f t="shared" si="14"/>
        <v>547</v>
      </c>
      <c r="N42" s="62">
        <f t="shared" si="15"/>
        <v>319.7512100306614</v>
      </c>
      <c r="O42" s="27">
        <f t="shared" si="6"/>
        <v>2135.26</v>
      </c>
      <c r="P42" s="27">
        <f t="shared" si="7"/>
        <v>0</v>
      </c>
      <c r="Q42" s="27">
        <f t="shared" si="9"/>
        <v>959.8381844064827</v>
      </c>
      <c r="R42" s="42">
        <f t="shared" si="8"/>
        <v>1175.4218155935175</v>
      </c>
      <c r="S42" s="25"/>
      <c r="T42" s="44"/>
      <c r="U42" s="44"/>
      <c r="V42" s="45"/>
    </row>
    <row r="43" spans="1:22" s="19" customFormat="1" ht="12.75">
      <c r="A43" s="116" t="s">
        <v>27</v>
      </c>
      <c r="B43" s="118" t="s">
        <v>62</v>
      </c>
      <c r="C43" s="118"/>
      <c r="D43" s="117">
        <v>40909</v>
      </c>
      <c r="E43" s="119">
        <v>-2</v>
      </c>
      <c r="F43" s="116">
        <v>120</v>
      </c>
      <c r="G43" s="33">
        <f t="shared" si="10"/>
        <v>35.972404730617605</v>
      </c>
      <c r="H43" s="17">
        <f t="shared" si="11"/>
        <v>44561.8</v>
      </c>
      <c r="I43" s="41">
        <f t="shared" si="12"/>
        <v>0.1</v>
      </c>
      <c r="J43" s="120">
        <v>2135.26</v>
      </c>
      <c r="K43" s="120"/>
      <c r="L43" s="63">
        <f t="shared" si="13"/>
        <v>640.0869743758213</v>
      </c>
      <c r="M43" s="26">
        <f t="shared" si="14"/>
        <v>547</v>
      </c>
      <c r="N43" s="62">
        <f t="shared" si="15"/>
        <v>319.7512100306614</v>
      </c>
      <c r="O43" s="27">
        <f t="shared" si="6"/>
        <v>2135.26</v>
      </c>
      <c r="P43" s="27">
        <f t="shared" si="7"/>
        <v>0</v>
      </c>
      <c r="Q43" s="27">
        <f t="shared" si="9"/>
        <v>959.8381844064827</v>
      </c>
      <c r="R43" s="42">
        <f t="shared" si="8"/>
        <v>1175.4218155935175</v>
      </c>
      <c r="S43" s="25"/>
      <c r="T43" s="44"/>
      <c r="U43" s="44"/>
      <c r="V43" s="45"/>
    </row>
    <row r="44" spans="1:22" s="19" customFormat="1" ht="12.75">
      <c r="A44" s="116" t="s">
        <v>27</v>
      </c>
      <c r="B44" s="118" t="s">
        <v>63</v>
      </c>
      <c r="C44" s="118"/>
      <c r="D44" s="117">
        <v>40909</v>
      </c>
      <c r="E44" s="119">
        <v>-2</v>
      </c>
      <c r="F44" s="116">
        <v>120</v>
      </c>
      <c r="G44" s="33">
        <f t="shared" si="10"/>
        <v>35.972404730617605</v>
      </c>
      <c r="H44" s="17">
        <f t="shared" si="11"/>
        <v>44561.8</v>
      </c>
      <c r="I44" s="41">
        <f t="shared" si="12"/>
        <v>0.1</v>
      </c>
      <c r="J44" s="120">
        <v>2135.26</v>
      </c>
      <c r="K44" s="120"/>
      <c r="L44" s="63">
        <f t="shared" si="13"/>
        <v>640.0869743758213</v>
      </c>
      <c r="M44" s="26">
        <f t="shared" si="14"/>
        <v>547</v>
      </c>
      <c r="N44" s="62">
        <f t="shared" si="15"/>
        <v>319.7512100306614</v>
      </c>
      <c r="O44" s="27">
        <f t="shared" si="6"/>
        <v>2135.26</v>
      </c>
      <c r="P44" s="27">
        <f t="shared" si="7"/>
        <v>0</v>
      </c>
      <c r="Q44" s="27">
        <f t="shared" si="9"/>
        <v>959.8381844064827</v>
      </c>
      <c r="R44" s="42">
        <f t="shared" si="8"/>
        <v>1175.4218155935175</v>
      </c>
      <c r="S44" s="25"/>
      <c r="T44" s="44"/>
      <c r="U44" s="44"/>
      <c r="V44" s="45"/>
    </row>
    <row r="45" spans="1:22" s="19" customFormat="1" ht="12.75">
      <c r="A45" s="116" t="s">
        <v>27</v>
      </c>
      <c r="B45" s="118" t="s">
        <v>64</v>
      </c>
      <c r="C45" s="118"/>
      <c r="D45" s="117">
        <v>40909</v>
      </c>
      <c r="E45" s="119">
        <v>-2</v>
      </c>
      <c r="F45" s="116">
        <v>120</v>
      </c>
      <c r="G45" s="33">
        <f t="shared" si="10"/>
        <v>35.972404730617605</v>
      </c>
      <c r="H45" s="17">
        <f t="shared" si="11"/>
        <v>44561.8</v>
      </c>
      <c r="I45" s="41">
        <f t="shared" si="12"/>
        <v>0.1</v>
      </c>
      <c r="J45" s="120">
        <v>5235.26</v>
      </c>
      <c r="K45" s="120"/>
      <c r="L45" s="63">
        <f t="shared" si="13"/>
        <v>1569.3740965834427</v>
      </c>
      <c r="M45" s="26">
        <f t="shared" si="14"/>
        <v>547</v>
      </c>
      <c r="N45" s="62">
        <f t="shared" si="15"/>
        <v>783.9704391151993</v>
      </c>
      <c r="O45" s="27">
        <f t="shared" si="6"/>
        <v>5235.26</v>
      </c>
      <c r="P45" s="27">
        <f t="shared" si="7"/>
        <v>0</v>
      </c>
      <c r="Q45" s="27">
        <f t="shared" si="9"/>
        <v>2353.344535698642</v>
      </c>
      <c r="R45" s="42">
        <f t="shared" si="8"/>
        <v>2881.915464301358</v>
      </c>
      <c r="S45" s="25"/>
      <c r="T45" s="44"/>
      <c r="U45" s="44"/>
      <c r="V45" s="45"/>
    </row>
    <row r="46" spans="1:22" s="19" customFormat="1" ht="12.75">
      <c r="A46" s="116" t="s">
        <v>27</v>
      </c>
      <c r="B46" s="118" t="s">
        <v>65</v>
      </c>
      <c r="C46" s="118"/>
      <c r="D46" s="117">
        <v>40909</v>
      </c>
      <c r="E46" s="119">
        <v>-2</v>
      </c>
      <c r="F46" s="116">
        <v>120</v>
      </c>
      <c r="G46" s="33">
        <f t="shared" si="10"/>
        <v>35.972404730617605</v>
      </c>
      <c r="H46" s="17">
        <f t="shared" si="11"/>
        <v>44561.8</v>
      </c>
      <c r="I46" s="41">
        <f t="shared" si="12"/>
        <v>0.1</v>
      </c>
      <c r="J46" s="120">
        <v>5235.26</v>
      </c>
      <c r="K46" s="120"/>
      <c r="L46" s="63">
        <f t="shared" si="13"/>
        <v>1569.3740965834427</v>
      </c>
      <c r="M46" s="26">
        <f t="shared" si="14"/>
        <v>547</v>
      </c>
      <c r="N46" s="62">
        <f t="shared" si="15"/>
        <v>783.9704391151993</v>
      </c>
      <c r="O46" s="27">
        <f t="shared" si="6"/>
        <v>5235.26</v>
      </c>
      <c r="P46" s="27">
        <f t="shared" si="7"/>
        <v>0</v>
      </c>
      <c r="Q46" s="27">
        <f t="shared" si="9"/>
        <v>2353.344535698642</v>
      </c>
      <c r="R46" s="42">
        <f t="shared" si="8"/>
        <v>2881.915464301358</v>
      </c>
      <c r="S46" s="25"/>
      <c r="T46" s="44"/>
      <c r="U46" s="44"/>
      <c r="V46" s="45"/>
    </row>
    <row r="47" spans="1:22" s="19" customFormat="1" ht="12.75">
      <c r="A47" s="116" t="s">
        <v>27</v>
      </c>
      <c r="B47" s="118" t="s">
        <v>66</v>
      </c>
      <c r="C47" s="118"/>
      <c r="D47" s="117">
        <v>40909</v>
      </c>
      <c r="E47" s="119">
        <v>-2</v>
      </c>
      <c r="F47" s="116">
        <v>120</v>
      </c>
      <c r="G47" s="33">
        <f t="shared" si="10"/>
        <v>35.972404730617605</v>
      </c>
      <c r="H47" s="17">
        <f t="shared" si="11"/>
        <v>44561.8</v>
      </c>
      <c r="I47" s="41">
        <f t="shared" si="12"/>
        <v>0.1</v>
      </c>
      <c r="J47" s="120">
        <v>1789.26</v>
      </c>
      <c r="K47" s="120"/>
      <c r="L47" s="63">
        <f t="shared" si="13"/>
        <v>536.3665407358739</v>
      </c>
      <c r="M47" s="26">
        <f t="shared" si="14"/>
        <v>547</v>
      </c>
      <c r="N47" s="62">
        <f t="shared" si="15"/>
        <v>267.9383541392904</v>
      </c>
      <c r="O47" s="27">
        <f t="shared" si="6"/>
        <v>1789.26</v>
      </c>
      <c r="P47" s="27">
        <f t="shared" si="7"/>
        <v>0</v>
      </c>
      <c r="Q47" s="27">
        <f t="shared" si="9"/>
        <v>804.3048948751643</v>
      </c>
      <c r="R47" s="42">
        <f t="shared" si="8"/>
        <v>984.9551051248357</v>
      </c>
      <c r="S47" s="25"/>
      <c r="T47" s="43"/>
      <c r="U47" s="44"/>
      <c r="V47" s="45"/>
    </row>
    <row r="48" spans="1:22" s="19" customFormat="1" ht="12.75">
      <c r="A48" s="116" t="s">
        <v>27</v>
      </c>
      <c r="B48" s="118" t="s">
        <v>67</v>
      </c>
      <c r="C48" s="118"/>
      <c r="D48" s="117">
        <v>40909</v>
      </c>
      <c r="E48" s="119">
        <v>-2</v>
      </c>
      <c r="F48" s="116">
        <v>120</v>
      </c>
      <c r="G48" s="33">
        <f t="shared" si="10"/>
        <v>35.972404730617605</v>
      </c>
      <c r="H48" s="17">
        <f t="shared" si="11"/>
        <v>44561.8</v>
      </c>
      <c r="I48" s="41">
        <f t="shared" si="12"/>
        <v>0.1</v>
      </c>
      <c r="J48" s="120">
        <v>6035.26</v>
      </c>
      <c r="K48" s="120"/>
      <c r="L48" s="63">
        <f t="shared" si="13"/>
        <v>1809.1901281208934</v>
      </c>
      <c r="M48" s="26">
        <f t="shared" si="14"/>
        <v>547</v>
      </c>
      <c r="N48" s="62">
        <f t="shared" si="15"/>
        <v>903.768949846693</v>
      </c>
      <c r="O48" s="27">
        <f t="shared" si="6"/>
        <v>6035.26</v>
      </c>
      <c r="P48" s="27">
        <f t="shared" si="7"/>
        <v>0</v>
      </c>
      <c r="Q48" s="27">
        <f t="shared" si="9"/>
        <v>2712.9590779675864</v>
      </c>
      <c r="R48" s="42">
        <f t="shared" si="8"/>
        <v>3322.300922032414</v>
      </c>
      <c r="S48" s="25"/>
      <c r="T48" s="43"/>
      <c r="U48" s="44"/>
      <c r="V48" s="45"/>
    </row>
    <row r="49" spans="1:22" s="19" customFormat="1" ht="12.75">
      <c r="A49" s="116" t="s">
        <v>27</v>
      </c>
      <c r="B49" s="118" t="s">
        <v>68</v>
      </c>
      <c r="C49" s="118"/>
      <c r="D49" s="117">
        <v>40909</v>
      </c>
      <c r="E49" s="119">
        <v>-2</v>
      </c>
      <c r="F49" s="116">
        <v>120</v>
      </c>
      <c r="G49" s="33">
        <f t="shared" si="10"/>
        <v>35.972404730617605</v>
      </c>
      <c r="H49" s="17">
        <f t="shared" si="11"/>
        <v>44561.8</v>
      </c>
      <c r="I49" s="41">
        <f t="shared" si="12"/>
        <v>0.1</v>
      </c>
      <c r="J49" s="120">
        <v>28625.059999999998</v>
      </c>
      <c r="K49" s="120"/>
      <c r="L49" s="63">
        <f t="shared" si="13"/>
        <v>8580.935364651772</v>
      </c>
      <c r="M49" s="26">
        <f t="shared" si="14"/>
        <v>547</v>
      </c>
      <c r="N49" s="62">
        <f t="shared" si="15"/>
        <v>4286.549446999561</v>
      </c>
      <c r="O49" s="27">
        <f t="shared" si="6"/>
        <v>28625.059999999998</v>
      </c>
      <c r="P49" s="27">
        <f t="shared" si="7"/>
        <v>0</v>
      </c>
      <c r="Q49" s="27">
        <f t="shared" si="9"/>
        <v>12867.484811651333</v>
      </c>
      <c r="R49" s="42">
        <f t="shared" si="8"/>
        <v>15757.575188348665</v>
      </c>
      <c r="S49" s="25"/>
      <c r="T49" s="43"/>
      <c r="U49" s="44"/>
      <c r="V49" s="45"/>
    </row>
    <row r="50" spans="1:22" s="19" customFormat="1" ht="12.75">
      <c r="A50" s="116" t="s">
        <v>27</v>
      </c>
      <c r="B50" s="118" t="s">
        <v>69</v>
      </c>
      <c r="C50" s="118"/>
      <c r="D50" s="117">
        <v>40909</v>
      </c>
      <c r="E50" s="119">
        <v>-2</v>
      </c>
      <c r="F50" s="116">
        <v>120</v>
      </c>
      <c r="G50" s="33">
        <f t="shared" si="10"/>
        <v>35.972404730617605</v>
      </c>
      <c r="H50" s="17">
        <f t="shared" si="11"/>
        <v>44561.8</v>
      </c>
      <c r="I50" s="41">
        <f t="shared" si="12"/>
        <v>0.1</v>
      </c>
      <c r="J50" s="120">
        <v>56554.86</v>
      </c>
      <c r="K50" s="120"/>
      <c r="L50" s="63">
        <f t="shared" si="13"/>
        <v>16953.45261169514</v>
      </c>
      <c r="M50" s="26">
        <f t="shared" si="14"/>
        <v>547</v>
      </c>
      <c r="N50" s="62">
        <f t="shared" si="15"/>
        <v>8468.985003285152</v>
      </c>
      <c r="O50" s="27">
        <f t="shared" si="6"/>
        <v>56554.86</v>
      </c>
      <c r="P50" s="27">
        <f t="shared" si="7"/>
        <v>0</v>
      </c>
      <c r="Q50" s="27">
        <f t="shared" si="9"/>
        <v>25422.437614980292</v>
      </c>
      <c r="R50" s="42">
        <f t="shared" si="8"/>
        <v>31132.42238501971</v>
      </c>
      <c r="S50" s="25"/>
      <c r="T50" s="43"/>
      <c r="U50" s="44"/>
      <c r="V50" s="45"/>
    </row>
    <row r="51" spans="1:22" s="19" customFormat="1" ht="12.75">
      <c r="A51" s="116" t="s">
        <v>27</v>
      </c>
      <c r="B51" s="118" t="s">
        <v>70</v>
      </c>
      <c r="C51" s="118"/>
      <c r="D51" s="117">
        <v>40909</v>
      </c>
      <c r="E51" s="119">
        <v>-2</v>
      </c>
      <c r="F51" s="116">
        <v>120</v>
      </c>
      <c r="G51" s="33">
        <f t="shared" si="10"/>
        <v>35.972404730617605</v>
      </c>
      <c r="H51" s="17">
        <f t="shared" si="11"/>
        <v>44561.8</v>
      </c>
      <c r="I51" s="41">
        <f t="shared" si="12"/>
        <v>0.1</v>
      </c>
      <c r="J51" s="120">
        <v>9235.26</v>
      </c>
      <c r="K51" s="120"/>
      <c r="L51" s="63">
        <f t="shared" si="13"/>
        <v>2768.454254270696</v>
      </c>
      <c r="M51" s="26">
        <f t="shared" si="14"/>
        <v>547</v>
      </c>
      <c r="N51" s="62">
        <f t="shared" si="15"/>
        <v>1382.9629927726673</v>
      </c>
      <c r="O51" s="27">
        <f t="shared" si="6"/>
        <v>9235.26</v>
      </c>
      <c r="P51" s="27">
        <f t="shared" si="7"/>
        <v>0</v>
      </c>
      <c r="Q51" s="27">
        <f t="shared" si="9"/>
        <v>4151.417247043363</v>
      </c>
      <c r="R51" s="42">
        <f t="shared" si="8"/>
        <v>5083.842752956637</v>
      </c>
      <c r="S51" s="25"/>
      <c r="T51" s="43"/>
      <c r="U51" s="44"/>
      <c r="V51" s="45"/>
    </row>
    <row r="52" spans="1:22" s="19" customFormat="1" ht="12.75">
      <c r="A52" s="116" t="s">
        <v>27</v>
      </c>
      <c r="B52" s="118" t="s">
        <v>71</v>
      </c>
      <c r="C52" s="118"/>
      <c r="D52" s="117">
        <v>40909</v>
      </c>
      <c r="E52" s="119">
        <v>-2</v>
      </c>
      <c r="F52" s="116">
        <v>120</v>
      </c>
      <c r="G52" s="33">
        <f t="shared" si="10"/>
        <v>35.972404730617605</v>
      </c>
      <c r="H52" s="17">
        <f t="shared" si="11"/>
        <v>44561.8</v>
      </c>
      <c r="I52" s="41">
        <f t="shared" si="12"/>
        <v>0.1</v>
      </c>
      <c r="J52" s="120">
        <v>2835.26</v>
      </c>
      <c r="K52" s="120"/>
      <c r="L52" s="63">
        <f t="shared" si="13"/>
        <v>849.9260019710906</v>
      </c>
      <c r="M52" s="26">
        <f t="shared" si="14"/>
        <v>547</v>
      </c>
      <c r="N52" s="62">
        <f t="shared" si="15"/>
        <v>424.5749069207184</v>
      </c>
      <c r="O52" s="27">
        <f t="shared" si="6"/>
        <v>2835.26</v>
      </c>
      <c r="P52" s="27">
        <f t="shared" si="7"/>
        <v>0</v>
      </c>
      <c r="Q52" s="27">
        <f t="shared" si="9"/>
        <v>1274.500908891809</v>
      </c>
      <c r="R52" s="42">
        <f t="shared" si="8"/>
        <v>1560.7590911081911</v>
      </c>
      <c r="S52" s="25"/>
      <c r="T52" s="43"/>
      <c r="U52" s="44"/>
      <c r="V52" s="45"/>
    </row>
    <row r="53" spans="1:22" s="19" customFormat="1" ht="12.75">
      <c r="A53" s="116" t="s">
        <v>27</v>
      </c>
      <c r="B53" s="118" t="s">
        <v>72</v>
      </c>
      <c r="C53" s="118"/>
      <c r="D53" s="117">
        <v>40909</v>
      </c>
      <c r="E53" s="119">
        <v>-2</v>
      </c>
      <c r="F53" s="116">
        <v>120</v>
      </c>
      <c r="G53" s="33">
        <f t="shared" si="10"/>
        <v>35.972404730617605</v>
      </c>
      <c r="H53" s="17">
        <f t="shared" si="11"/>
        <v>44561.8</v>
      </c>
      <c r="I53" s="41">
        <f t="shared" si="12"/>
        <v>0.1</v>
      </c>
      <c r="J53" s="120">
        <v>28235.26</v>
      </c>
      <c r="K53" s="120"/>
      <c r="L53" s="63">
        <f t="shared" si="13"/>
        <v>8464.085003285149</v>
      </c>
      <c r="M53" s="26">
        <f t="shared" si="14"/>
        <v>547</v>
      </c>
      <c r="N53" s="62">
        <f t="shared" si="15"/>
        <v>4228.177622645641</v>
      </c>
      <c r="O53" s="27">
        <f t="shared" si="6"/>
        <v>28235.26</v>
      </c>
      <c r="P53" s="27">
        <f t="shared" si="7"/>
        <v>0</v>
      </c>
      <c r="Q53" s="27">
        <f t="shared" si="9"/>
        <v>12692.26262593079</v>
      </c>
      <c r="R53" s="42">
        <f t="shared" si="8"/>
        <v>15542.997374069208</v>
      </c>
      <c r="S53" s="25"/>
      <c r="T53" s="43"/>
      <c r="U53" s="44"/>
      <c r="V53" s="45"/>
    </row>
    <row r="54" spans="1:22" s="19" customFormat="1" ht="12.75">
      <c r="A54" s="116" t="s">
        <v>27</v>
      </c>
      <c r="B54" s="118" t="s">
        <v>73</v>
      </c>
      <c r="C54" s="118"/>
      <c r="D54" s="117">
        <v>40909</v>
      </c>
      <c r="E54" s="119">
        <v>-2</v>
      </c>
      <c r="F54" s="116">
        <v>120</v>
      </c>
      <c r="G54" s="33">
        <f t="shared" si="10"/>
        <v>35.972404730617605</v>
      </c>
      <c r="H54" s="17">
        <f t="shared" si="11"/>
        <v>44561.8</v>
      </c>
      <c r="I54" s="41">
        <f t="shared" si="12"/>
        <v>0.1</v>
      </c>
      <c r="J54" s="120">
        <v>35635.26</v>
      </c>
      <c r="K54" s="120"/>
      <c r="L54" s="63">
        <f t="shared" si="13"/>
        <v>10682.38329500657</v>
      </c>
      <c r="M54" s="26">
        <f t="shared" si="14"/>
        <v>547</v>
      </c>
      <c r="N54" s="62">
        <f t="shared" si="15"/>
        <v>5336.313846911958</v>
      </c>
      <c r="O54" s="27">
        <f t="shared" si="6"/>
        <v>35635.26</v>
      </c>
      <c r="P54" s="27">
        <f t="shared" si="7"/>
        <v>0</v>
      </c>
      <c r="Q54" s="27">
        <f t="shared" si="9"/>
        <v>16018.697141918528</v>
      </c>
      <c r="R54" s="42">
        <f t="shared" si="8"/>
        <v>19616.562858081474</v>
      </c>
      <c r="S54" s="25"/>
      <c r="T54" s="43"/>
      <c r="U54" s="44"/>
      <c r="V54" s="45"/>
    </row>
    <row r="55" spans="1:22" s="19" customFormat="1" ht="12.75">
      <c r="A55" s="116" t="s">
        <v>27</v>
      </c>
      <c r="B55" s="118" t="s">
        <v>74</v>
      </c>
      <c r="C55" s="118"/>
      <c r="D55" s="117">
        <v>40909</v>
      </c>
      <c r="E55" s="119">
        <v>-2</v>
      </c>
      <c r="F55" s="116">
        <v>120</v>
      </c>
      <c r="G55" s="33">
        <f t="shared" si="10"/>
        <v>35.972404730617605</v>
      </c>
      <c r="H55" s="17">
        <f t="shared" si="11"/>
        <v>44561.8</v>
      </c>
      <c r="I55" s="41">
        <f t="shared" si="12"/>
        <v>0.1</v>
      </c>
      <c r="J55" s="120">
        <v>50635.26</v>
      </c>
      <c r="K55" s="120"/>
      <c r="L55" s="63">
        <f t="shared" si="13"/>
        <v>15178.93388633377</v>
      </c>
      <c r="M55" s="26">
        <f t="shared" si="14"/>
        <v>547</v>
      </c>
      <c r="N55" s="62">
        <f t="shared" si="15"/>
        <v>7582.535923127463</v>
      </c>
      <c r="O55" s="27">
        <f t="shared" si="6"/>
        <v>50635.26</v>
      </c>
      <c r="P55" s="27">
        <f t="shared" si="7"/>
        <v>0</v>
      </c>
      <c r="Q55" s="27">
        <f t="shared" si="9"/>
        <v>22761.469809461232</v>
      </c>
      <c r="R55" s="42">
        <f t="shared" si="8"/>
        <v>27873.79019053877</v>
      </c>
      <c r="S55" s="25"/>
      <c r="T55" s="43"/>
      <c r="U55" s="44"/>
      <c r="V55" s="45"/>
    </row>
    <row r="56" spans="1:22" s="19" customFormat="1" ht="12.75">
      <c r="A56" s="116" t="s">
        <v>27</v>
      </c>
      <c r="B56" s="118" t="s">
        <v>75</v>
      </c>
      <c r="C56" s="118"/>
      <c r="D56" s="117">
        <v>40909</v>
      </c>
      <c r="E56" s="119">
        <v>-2</v>
      </c>
      <c r="F56" s="116">
        <v>120</v>
      </c>
      <c r="G56" s="33">
        <f t="shared" si="10"/>
        <v>35.972404730617605</v>
      </c>
      <c r="H56" s="17">
        <f t="shared" si="11"/>
        <v>44561.8</v>
      </c>
      <c r="I56" s="41">
        <f t="shared" si="12"/>
        <v>0.1</v>
      </c>
      <c r="J56" s="120">
        <v>15635.26</v>
      </c>
      <c r="K56" s="120"/>
      <c r="L56" s="63">
        <f t="shared" si="13"/>
        <v>4686.982506570302</v>
      </c>
      <c r="M56" s="26">
        <f t="shared" si="14"/>
        <v>547</v>
      </c>
      <c r="N56" s="62">
        <f t="shared" si="15"/>
        <v>2341.3510786246165</v>
      </c>
      <c r="O56" s="27">
        <f t="shared" si="6"/>
        <v>15635.26</v>
      </c>
      <c r="P56" s="27">
        <f t="shared" si="7"/>
        <v>0</v>
      </c>
      <c r="Q56" s="27">
        <f t="shared" si="9"/>
        <v>7028.333585194918</v>
      </c>
      <c r="R56" s="42">
        <f t="shared" si="8"/>
        <v>8606.926414805082</v>
      </c>
      <c r="S56" s="25"/>
      <c r="T56" s="43"/>
      <c r="U56" s="44"/>
      <c r="V56" s="45"/>
    </row>
    <row r="57" spans="1:22" s="19" customFormat="1" ht="12.75">
      <c r="A57" s="116" t="s">
        <v>27</v>
      </c>
      <c r="B57" s="118" t="s">
        <v>76</v>
      </c>
      <c r="C57" s="118"/>
      <c r="D57" s="117">
        <v>40909</v>
      </c>
      <c r="E57" s="119">
        <v>-2</v>
      </c>
      <c r="F57" s="116">
        <v>120</v>
      </c>
      <c r="G57" s="33">
        <f t="shared" si="10"/>
        <v>35.972404730617605</v>
      </c>
      <c r="H57" s="17">
        <f t="shared" si="11"/>
        <v>44561.8</v>
      </c>
      <c r="I57" s="41">
        <f t="shared" si="12"/>
        <v>0.1</v>
      </c>
      <c r="J57" s="120">
        <v>1415.26</v>
      </c>
      <c r="K57" s="120"/>
      <c r="L57" s="63">
        <f t="shared" si="13"/>
        <v>424.2525459921156</v>
      </c>
      <c r="M57" s="26">
        <f t="shared" si="14"/>
        <v>547</v>
      </c>
      <c r="N57" s="62">
        <f t="shared" si="15"/>
        <v>211.9325503723171</v>
      </c>
      <c r="O57" s="27">
        <f t="shared" si="6"/>
        <v>1415.26</v>
      </c>
      <c r="P57" s="27">
        <f t="shared" si="7"/>
        <v>0</v>
      </c>
      <c r="Q57" s="27">
        <f t="shared" si="9"/>
        <v>636.1850963644326</v>
      </c>
      <c r="R57" s="42">
        <f t="shared" si="8"/>
        <v>779.0749036355674</v>
      </c>
      <c r="S57" s="25"/>
      <c r="T57" s="43"/>
      <c r="U57" s="44"/>
      <c r="V57" s="45"/>
    </row>
    <row r="58" spans="1:22" s="19" customFormat="1" ht="12.75">
      <c r="A58" s="116" t="s">
        <v>27</v>
      </c>
      <c r="B58" s="118" t="s">
        <v>77</v>
      </c>
      <c r="C58" s="118"/>
      <c r="D58" s="117">
        <v>40909</v>
      </c>
      <c r="E58" s="119">
        <v>-2</v>
      </c>
      <c r="F58" s="116">
        <v>120</v>
      </c>
      <c r="G58" s="33">
        <f t="shared" si="10"/>
        <v>35.972404730617605</v>
      </c>
      <c r="H58" s="17">
        <f t="shared" si="11"/>
        <v>44561.8</v>
      </c>
      <c r="I58" s="41">
        <f t="shared" si="12"/>
        <v>0.1</v>
      </c>
      <c r="J58" s="120">
        <v>1415.26</v>
      </c>
      <c r="K58" s="120"/>
      <c r="L58" s="63">
        <f t="shared" si="13"/>
        <v>424.2525459921156</v>
      </c>
      <c r="M58" s="26">
        <f t="shared" si="14"/>
        <v>547</v>
      </c>
      <c r="N58" s="62">
        <f t="shared" si="15"/>
        <v>211.9325503723171</v>
      </c>
      <c r="O58" s="27">
        <f t="shared" si="6"/>
        <v>1415.26</v>
      </c>
      <c r="P58" s="27">
        <f t="shared" si="7"/>
        <v>0</v>
      </c>
      <c r="Q58" s="27">
        <f t="shared" si="9"/>
        <v>636.1850963644326</v>
      </c>
      <c r="R58" s="42">
        <f t="shared" si="8"/>
        <v>779.0749036355674</v>
      </c>
      <c r="S58" s="25"/>
      <c r="T58" s="43"/>
      <c r="U58" s="44"/>
      <c r="V58" s="45"/>
    </row>
    <row r="59" spans="1:22" s="19" customFormat="1" ht="12.75">
      <c r="A59" s="116" t="s">
        <v>27</v>
      </c>
      <c r="B59" s="118" t="s">
        <v>78</v>
      </c>
      <c r="C59" s="118"/>
      <c r="D59" s="117">
        <v>40909</v>
      </c>
      <c r="E59" s="119">
        <v>-2</v>
      </c>
      <c r="F59" s="116">
        <v>120</v>
      </c>
      <c r="G59" s="33">
        <f t="shared" si="10"/>
        <v>35.972404730617605</v>
      </c>
      <c r="H59" s="17">
        <f t="shared" si="11"/>
        <v>44561.8</v>
      </c>
      <c r="I59" s="41">
        <f t="shared" si="12"/>
        <v>0.1</v>
      </c>
      <c r="J59" s="120">
        <v>1085.26</v>
      </c>
      <c r="K59" s="120"/>
      <c r="L59" s="63">
        <f t="shared" si="13"/>
        <v>325.3284329829172</v>
      </c>
      <c r="M59" s="26">
        <f t="shared" si="14"/>
        <v>547</v>
      </c>
      <c r="N59" s="62">
        <f t="shared" si="15"/>
        <v>162.515664695576</v>
      </c>
      <c r="O59" s="27">
        <f t="shared" si="6"/>
        <v>1085.26</v>
      </c>
      <c r="P59" s="27">
        <f t="shared" si="7"/>
        <v>0</v>
      </c>
      <c r="Q59" s="27">
        <f t="shared" si="9"/>
        <v>487.8440976784932</v>
      </c>
      <c r="R59" s="42">
        <f t="shared" si="8"/>
        <v>597.4159023215068</v>
      </c>
      <c r="S59" s="25"/>
      <c r="T59" s="43"/>
      <c r="U59" s="44"/>
      <c r="V59" s="45"/>
    </row>
    <row r="60" spans="1:22" s="19" customFormat="1" ht="12.75">
      <c r="A60" s="116" t="s">
        <v>27</v>
      </c>
      <c r="B60" s="118" t="s">
        <v>79</v>
      </c>
      <c r="C60" s="118"/>
      <c r="D60" s="117">
        <v>40909</v>
      </c>
      <c r="E60" s="119">
        <v>-2</v>
      </c>
      <c r="F60" s="116">
        <v>120</v>
      </c>
      <c r="G60" s="33">
        <f t="shared" si="10"/>
        <v>35.972404730617605</v>
      </c>
      <c r="H60" s="17">
        <f t="shared" si="11"/>
        <v>44561.8</v>
      </c>
      <c r="I60" s="41">
        <f t="shared" si="12"/>
        <v>0.1</v>
      </c>
      <c r="J60" s="120">
        <v>1935.26</v>
      </c>
      <c r="K60" s="120"/>
      <c r="L60" s="63">
        <f t="shared" si="13"/>
        <v>580.1329664914585</v>
      </c>
      <c r="M60" s="26">
        <f t="shared" si="14"/>
        <v>547</v>
      </c>
      <c r="N60" s="62">
        <f t="shared" si="15"/>
        <v>289.80158234778804</v>
      </c>
      <c r="O60" s="27">
        <f t="shared" si="6"/>
        <v>1935.26</v>
      </c>
      <c r="P60" s="27">
        <f t="shared" si="7"/>
        <v>0</v>
      </c>
      <c r="Q60" s="27">
        <f t="shared" si="9"/>
        <v>869.9345488392466</v>
      </c>
      <c r="R60" s="42">
        <f t="shared" si="8"/>
        <v>1065.3254511607533</v>
      </c>
      <c r="S60" s="25"/>
      <c r="T60" s="43"/>
      <c r="U60" s="44"/>
      <c r="V60" s="45"/>
    </row>
    <row r="61" spans="1:22" s="19" customFormat="1" ht="12.75">
      <c r="A61" s="116" t="s">
        <v>27</v>
      </c>
      <c r="B61" s="118" t="s">
        <v>80</v>
      </c>
      <c r="C61" s="118"/>
      <c r="D61" s="117">
        <v>40909</v>
      </c>
      <c r="E61" s="119">
        <v>-2</v>
      </c>
      <c r="F61" s="116">
        <v>120</v>
      </c>
      <c r="G61" s="33">
        <f t="shared" si="10"/>
        <v>35.972404730617605</v>
      </c>
      <c r="H61" s="17">
        <f t="shared" si="11"/>
        <v>44561.8</v>
      </c>
      <c r="I61" s="41">
        <f t="shared" si="12"/>
        <v>0.1</v>
      </c>
      <c r="J61" s="120">
        <v>2285.26</v>
      </c>
      <c r="K61" s="120"/>
      <c r="L61" s="63">
        <f t="shared" si="13"/>
        <v>685.0524802890933</v>
      </c>
      <c r="M61" s="26">
        <f t="shared" si="14"/>
        <v>547</v>
      </c>
      <c r="N61" s="62">
        <f t="shared" si="15"/>
        <v>342.2134307928165</v>
      </c>
      <c r="O61" s="27">
        <f t="shared" si="6"/>
        <v>2285.26</v>
      </c>
      <c r="P61" s="27">
        <f t="shared" si="7"/>
        <v>0</v>
      </c>
      <c r="Q61" s="27">
        <f t="shared" si="9"/>
        <v>1027.2659110819097</v>
      </c>
      <c r="R61" s="42">
        <f t="shared" si="8"/>
        <v>1257.9940889180905</v>
      </c>
      <c r="S61" s="25"/>
      <c r="T61" s="43"/>
      <c r="U61" s="44"/>
      <c r="V61" s="45"/>
    </row>
    <row r="62" spans="1:22" s="19" customFormat="1" ht="12.75">
      <c r="A62" s="116" t="s">
        <v>27</v>
      </c>
      <c r="B62" s="118" t="s">
        <v>81</v>
      </c>
      <c r="C62" s="118"/>
      <c r="D62" s="117">
        <v>40909</v>
      </c>
      <c r="E62" s="119">
        <v>-2</v>
      </c>
      <c r="F62" s="116">
        <v>120</v>
      </c>
      <c r="G62" s="33">
        <f t="shared" si="10"/>
        <v>35.972404730617605</v>
      </c>
      <c r="H62" s="17">
        <f t="shared" si="11"/>
        <v>44561.8</v>
      </c>
      <c r="I62" s="41">
        <f t="shared" si="12"/>
        <v>0.1</v>
      </c>
      <c r="J62" s="120">
        <v>12635.26</v>
      </c>
      <c r="K62" s="120"/>
      <c r="L62" s="63">
        <f t="shared" si="13"/>
        <v>3787.6723883048617</v>
      </c>
      <c r="M62" s="26">
        <f t="shared" si="14"/>
        <v>547</v>
      </c>
      <c r="N62" s="62">
        <f t="shared" si="15"/>
        <v>1892.1066633815155</v>
      </c>
      <c r="O62" s="27">
        <f t="shared" si="6"/>
        <v>12635.26</v>
      </c>
      <c r="P62" s="27">
        <f t="shared" si="7"/>
        <v>0</v>
      </c>
      <c r="Q62" s="27">
        <f t="shared" si="9"/>
        <v>5679.779051686377</v>
      </c>
      <c r="R62" s="42">
        <f t="shared" si="8"/>
        <v>6955.480948313623</v>
      </c>
      <c r="S62" s="25"/>
      <c r="T62" s="43"/>
      <c r="U62" s="44"/>
      <c r="V62" s="45"/>
    </row>
    <row r="63" spans="1:22" s="19" customFormat="1" ht="12.75">
      <c r="A63" s="116" t="s">
        <v>27</v>
      </c>
      <c r="B63" s="118" t="s">
        <v>82</v>
      </c>
      <c r="C63" s="118"/>
      <c r="D63" s="117">
        <v>40909</v>
      </c>
      <c r="E63" s="119">
        <v>-2</v>
      </c>
      <c r="F63" s="116">
        <v>120</v>
      </c>
      <c r="G63" s="33">
        <f t="shared" si="10"/>
        <v>35.972404730617605</v>
      </c>
      <c r="H63" s="17">
        <f t="shared" si="11"/>
        <v>44561.8</v>
      </c>
      <c r="I63" s="41">
        <f t="shared" si="12"/>
        <v>0.1</v>
      </c>
      <c r="J63" s="120">
        <v>835.26</v>
      </c>
      <c r="K63" s="120"/>
      <c r="L63" s="63">
        <f t="shared" si="13"/>
        <v>250.38592312746383</v>
      </c>
      <c r="M63" s="26">
        <f t="shared" si="14"/>
        <v>547</v>
      </c>
      <c r="N63" s="62">
        <f t="shared" si="15"/>
        <v>125.07863009198421</v>
      </c>
      <c r="O63" s="27">
        <f t="shared" si="6"/>
        <v>835.26</v>
      </c>
      <c r="P63" s="27">
        <f t="shared" si="7"/>
        <v>0</v>
      </c>
      <c r="Q63" s="27">
        <f t="shared" si="9"/>
        <v>375.464553219448</v>
      </c>
      <c r="R63" s="42">
        <f t="shared" si="8"/>
        <v>459.79544678055197</v>
      </c>
      <c r="S63" s="25"/>
      <c r="T63" s="43"/>
      <c r="U63" s="44"/>
      <c r="V63" s="45"/>
    </row>
    <row r="64" spans="1:22" s="19" customFormat="1" ht="12.75">
      <c r="A64" s="116" t="s">
        <v>27</v>
      </c>
      <c r="B64" s="118" t="s">
        <v>83</v>
      </c>
      <c r="C64" s="118"/>
      <c r="D64" s="117">
        <v>40909</v>
      </c>
      <c r="E64" s="119">
        <v>-2</v>
      </c>
      <c r="F64" s="116">
        <v>120</v>
      </c>
      <c r="G64" s="33">
        <f t="shared" si="10"/>
        <v>35.972404730617605</v>
      </c>
      <c r="H64" s="17">
        <f t="shared" si="11"/>
        <v>44561.8</v>
      </c>
      <c r="I64" s="41">
        <f t="shared" si="12"/>
        <v>0.1</v>
      </c>
      <c r="J64" s="120">
        <v>5993.26</v>
      </c>
      <c r="K64" s="120"/>
      <c r="L64" s="63">
        <f t="shared" si="13"/>
        <v>1796.5997864651774</v>
      </c>
      <c r="M64" s="26">
        <f t="shared" si="14"/>
        <v>547</v>
      </c>
      <c r="N64" s="62">
        <f t="shared" si="15"/>
        <v>897.4795280332896</v>
      </c>
      <c r="O64" s="27">
        <f t="shared" si="6"/>
        <v>5993.26</v>
      </c>
      <c r="P64" s="27">
        <f t="shared" si="7"/>
        <v>0</v>
      </c>
      <c r="Q64" s="27">
        <f t="shared" si="9"/>
        <v>2694.0793144984673</v>
      </c>
      <c r="R64" s="42">
        <f t="shared" si="8"/>
        <v>3299.180685501533</v>
      </c>
      <c r="S64" s="25"/>
      <c r="T64" s="43"/>
      <c r="U64" s="44"/>
      <c r="V64" s="45"/>
    </row>
    <row r="65" spans="1:22" s="19" customFormat="1" ht="12.75">
      <c r="A65" s="116" t="s">
        <v>27</v>
      </c>
      <c r="B65" s="118" t="s">
        <v>84</v>
      </c>
      <c r="C65" s="118"/>
      <c r="D65" s="117">
        <v>40909</v>
      </c>
      <c r="E65" s="119">
        <v>-2</v>
      </c>
      <c r="F65" s="116">
        <v>120</v>
      </c>
      <c r="G65" s="33">
        <f t="shared" si="10"/>
        <v>35.972404730617605</v>
      </c>
      <c r="H65" s="17">
        <f t="shared" si="11"/>
        <v>44561.8</v>
      </c>
      <c r="I65" s="41">
        <f t="shared" si="12"/>
        <v>0.1</v>
      </c>
      <c r="J65" s="120">
        <v>3835.26</v>
      </c>
      <c r="K65" s="120"/>
      <c r="L65" s="63">
        <f t="shared" si="13"/>
        <v>1149.6960413929041</v>
      </c>
      <c r="M65" s="26">
        <f t="shared" si="14"/>
        <v>547</v>
      </c>
      <c r="N65" s="62">
        <f t="shared" si="15"/>
        <v>574.3230453350855</v>
      </c>
      <c r="O65" s="27">
        <f t="shared" si="6"/>
        <v>3835.26</v>
      </c>
      <c r="P65" s="27">
        <f t="shared" si="7"/>
        <v>0</v>
      </c>
      <c r="Q65" s="27">
        <f t="shared" si="9"/>
        <v>1724.0190867279896</v>
      </c>
      <c r="R65" s="42">
        <f t="shared" si="8"/>
        <v>2111.2409132720104</v>
      </c>
      <c r="S65" s="25"/>
      <c r="T65" s="43"/>
      <c r="U65" s="44"/>
      <c r="V65" s="45"/>
    </row>
    <row r="66" spans="1:22" s="19" customFormat="1" ht="12.75">
      <c r="A66" s="116" t="s">
        <v>27</v>
      </c>
      <c r="B66" s="118" t="s">
        <v>85</v>
      </c>
      <c r="C66" s="118"/>
      <c r="D66" s="117">
        <v>41045</v>
      </c>
      <c r="E66" s="119">
        <v>-2</v>
      </c>
      <c r="F66" s="116">
        <v>120</v>
      </c>
      <c r="G66" s="33">
        <f t="shared" si="10"/>
        <v>31.50459921156373</v>
      </c>
      <c r="H66" s="17">
        <f t="shared" si="11"/>
        <v>44697.8</v>
      </c>
      <c r="I66" s="41">
        <f t="shared" si="12"/>
        <v>0.1</v>
      </c>
      <c r="J66" s="120">
        <v>44339.8</v>
      </c>
      <c r="K66" s="120"/>
      <c r="L66" s="63">
        <f t="shared" si="13"/>
        <v>11640.896901007445</v>
      </c>
      <c r="M66" s="26">
        <f t="shared" si="14"/>
        <v>547</v>
      </c>
      <c r="N66" s="62">
        <f t="shared" si="15"/>
        <v>6639.802507665353</v>
      </c>
      <c r="O66" s="27">
        <f t="shared" si="6"/>
        <v>44339.8</v>
      </c>
      <c r="P66" s="27">
        <f t="shared" si="7"/>
        <v>0</v>
      </c>
      <c r="Q66" s="27">
        <f t="shared" si="9"/>
        <v>18280.699408672797</v>
      </c>
      <c r="R66" s="42">
        <f t="shared" si="8"/>
        <v>26059.100591327206</v>
      </c>
      <c r="S66" s="25"/>
      <c r="T66" s="43"/>
      <c r="U66" s="44"/>
      <c r="V66" s="45"/>
    </row>
    <row r="67" spans="1:22" s="19" customFormat="1" ht="12.75">
      <c r="A67" s="116" t="s">
        <v>86</v>
      </c>
      <c r="B67" s="118" t="s">
        <v>87</v>
      </c>
      <c r="C67" s="118"/>
      <c r="D67" s="117">
        <v>41115</v>
      </c>
      <c r="E67" s="119">
        <v>-5</v>
      </c>
      <c r="F67" s="116">
        <v>120</v>
      </c>
      <c r="G67" s="33">
        <f t="shared" si="10"/>
        <v>29.204993429697765</v>
      </c>
      <c r="H67" s="17">
        <f t="shared" si="11"/>
        <v>44767.8</v>
      </c>
      <c r="I67" s="41">
        <f t="shared" si="12"/>
        <v>0.1</v>
      </c>
      <c r="J67" s="121">
        <v>2232.55</v>
      </c>
      <c r="K67" s="121"/>
      <c r="L67" s="63">
        <f t="shared" si="13"/>
        <v>543.3467340122646</v>
      </c>
      <c r="M67" s="26">
        <f t="shared" si="14"/>
        <v>547</v>
      </c>
      <c r="N67" s="62">
        <f t="shared" si="15"/>
        <v>334.32020641699523</v>
      </c>
      <c r="O67" s="27">
        <f t="shared" si="6"/>
        <v>2232.55</v>
      </c>
      <c r="P67" s="27">
        <f t="shared" si="7"/>
        <v>0</v>
      </c>
      <c r="Q67" s="27">
        <f t="shared" si="9"/>
        <v>877.6669404292599</v>
      </c>
      <c r="R67" s="42">
        <f t="shared" si="8"/>
        <v>1354.8830595707404</v>
      </c>
      <c r="S67" s="27"/>
      <c r="T67" s="44"/>
      <c r="U67" s="44"/>
      <c r="V67" s="45"/>
    </row>
    <row r="68" spans="1:22" s="19" customFormat="1" ht="12.75">
      <c r="A68" s="116" t="s">
        <v>88</v>
      </c>
      <c r="B68" s="118" t="s">
        <v>89</v>
      </c>
      <c r="C68" s="118"/>
      <c r="D68" s="117">
        <v>41174</v>
      </c>
      <c r="E68" s="119">
        <v>-4</v>
      </c>
      <c r="F68" s="116">
        <v>36</v>
      </c>
      <c r="G68" s="33">
        <f t="shared" si="10"/>
        <v>27.266754270696453</v>
      </c>
      <c r="H68" s="17">
        <f t="shared" si="11"/>
        <v>42269.84</v>
      </c>
      <c r="I68" s="41">
        <f t="shared" si="12"/>
        <v>0.33333333333333337</v>
      </c>
      <c r="J68" s="121">
        <v>1294.64</v>
      </c>
      <c r="K68" s="121"/>
      <c r="L68" s="63">
        <f t="shared" si="13"/>
        <v>980.5730763615127</v>
      </c>
      <c r="M68" s="26">
        <f t="shared" si="14"/>
        <v>265.8399999999965</v>
      </c>
      <c r="N68" s="62">
        <f t="shared" si="15"/>
        <v>314.0669236384832</v>
      </c>
      <c r="O68" s="27">
        <f t="shared" si="6"/>
        <v>1294.64</v>
      </c>
      <c r="P68" s="27">
        <f t="shared" si="7"/>
        <v>0</v>
      </c>
      <c r="Q68" s="27">
        <f t="shared" si="9"/>
        <v>1294.6399999999958</v>
      </c>
      <c r="R68" s="42">
        <f t="shared" si="8"/>
        <v>4.320099833421409E-12</v>
      </c>
      <c r="S68" s="27"/>
      <c r="T68" s="44"/>
      <c r="U68" s="44"/>
      <c r="V68" s="45"/>
    </row>
    <row r="69" spans="1:22" s="19" customFormat="1" ht="12.75">
      <c r="A69" s="116" t="s">
        <v>88</v>
      </c>
      <c r="B69" s="118" t="s">
        <v>90</v>
      </c>
      <c r="C69" s="118"/>
      <c r="D69" s="117">
        <v>41187</v>
      </c>
      <c r="E69" s="119">
        <v>-4</v>
      </c>
      <c r="F69" s="116">
        <v>36</v>
      </c>
      <c r="G69" s="33">
        <f t="shared" si="10"/>
        <v>26.839684625492772</v>
      </c>
      <c r="H69" s="17">
        <f t="shared" si="11"/>
        <v>42282.84</v>
      </c>
      <c r="I69" s="41">
        <f t="shared" si="12"/>
        <v>0.33333333333333337</v>
      </c>
      <c r="J69" s="121">
        <v>948.75</v>
      </c>
      <c r="K69" s="121"/>
      <c r="L69" s="63">
        <f t="shared" si="13"/>
        <v>707.3375219010074</v>
      </c>
      <c r="M69" s="26">
        <f t="shared" si="14"/>
        <v>278.8399999999965</v>
      </c>
      <c r="N69" s="62">
        <f t="shared" si="15"/>
        <v>241.41247809898954</v>
      </c>
      <c r="O69" s="27">
        <f t="shared" si="6"/>
        <v>948.75</v>
      </c>
      <c r="P69" s="27">
        <f t="shared" si="7"/>
        <v>0</v>
      </c>
      <c r="Q69" s="27">
        <f t="shared" si="9"/>
        <v>948.749999999997</v>
      </c>
      <c r="R69" s="42">
        <f t="shared" si="8"/>
        <v>2.9558577807620168E-12</v>
      </c>
      <c r="S69" s="27"/>
      <c r="T69" s="44"/>
      <c r="U69" s="44"/>
      <c r="V69" s="45"/>
    </row>
    <row r="70" spans="1:22" s="19" customFormat="1" ht="12.75">
      <c r="A70" s="116" t="s">
        <v>88</v>
      </c>
      <c r="B70" s="118" t="s">
        <v>91</v>
      </c>
      <c r="C70" s="118"/>
      <c r="D70" s="117">
        <v>41199</v>
      </c>
      <c r="E70" s="119">
        <v>-4</v>
      </c>
      <c r="F70" s="116">
        <v>36</v>
      </c>
      <c r="G70" s="33">
        <f t="shared" si="10"/>
        <v>26.445466491458607</v>
      </c>
      <c r="H70" s="17">
        <f t="shared" si="11"/>
        <v>42294.84</v>
      </c>
      <c r="I70" s="41">
        <f t="shared" si="12"/>
        <v>0.33333333333333337</v>
      </c>
      <c r="J70" s="121">
        <v>515.58</v>
      </c>
      <c r="K70" s="121"/>
      <c r="L70" s="63">
        <f t="shared" si="13"/>
        <v>378.74315593517304</v>
      </c>
      <c r="M70" s="26">
        <f t="shared" si="14"/>
        <v>290.8399999999965</v>
      </c>
      <c r="N70" s="62">
        <f t="shared" si="15"/>
        <v>136.83684406482536</v>
      </c>
      <c r="O70" s="27">
        <f t="shared" si="6"/>
        <v>515.58</v>
      </c>
      <c r="P70" s="27">
        <f t="shared" si="7"/>
        <v>0</v>
      </c>
      <c r="Q70" s="27">
        <f t="shared" si="9"/>
        <v>515.5799999999983</v>
      </c>
      <c r="R70" s="42">
        <f t="shared" si="8"/>
        <v>1.7053025658242404E-12</v>
      </c>
      <c r="S70" s="27"/>
      <c r="T70" s="44"/>
      <c r="U70" s="44"/>
      <c r="V70" s="45"/>
    </row>
    <row r="71" spans="1:22" ht="12.75">
      <c r="A71" s="116" t="s">
        <v>28</v>
      </c>
      <c r="B71" s="118" t="s">
        <v>92</v>
      </c>
      <c r="C71" s="118"/>
      <c r="D71" s="117">
        <v>41204</v>
      </c>
      <c r="E71" s="119">
        <v>-6</v>
      </c>
      <c r="F71" s="116">
        <v>120</v>
      </c>
      <c r="G71" s="33">
        <f aca="true" t="shared" si="16" ref="G71:G102">+IF((($J$5-D71)/30.44)&gt;F71,F71,IF((($J$5-D71)/30.44)&lt;1,0,(($J$5-D71)/30.44)))</f>
        <v>26.281208935611037</v>
      </c>
      <c r="H71" s="17">
        <f aca="true" t="shared" si="17" ref="H71:H102">+D71+F71*30.44</f>
        <v>44856.8</v>
      </c>
      <c r="I71" s="41">
        <f aca="true" t="shared" si="18" ref="I71:I102">_xlfn.IFERROR(((100/(F71/12))/100),0)</f>
        <v>0.1</v>
      </c>
      <c r="J71" s="121">
        <v>25883.93</v>
      </c>
      <c r="K71" s="121"/>
      <c r="L71" s="63">
        <f aca="true" t="shared" si="19" ref="L71:L102">_xlfn.IFERROR(((J71-K71)/F71*G71),0)</f>
        <v>5668.841436706089</v>
      </c>
      <c r="M71" s="26">
        <f aca="true" t="shared" si="20" ref="M71:M102">IF((IF(AND(D71&gt;$J$5,$O$5&lt;H71),$O$5-D71,IF(H71&lt;$O$5,H71-$J$5,$O$5-$J$5)))&lt;=0,0,(IF(AND(D71&gt;$J$5,$O$5&lt;H71),$O$5-D71,IF(H71&lt;$O$5,H71-$J$5,$O$5-$J$5))))</f>
        <v>547</v>
      </c>
      <c r="N71" s="62">
        <f aca="true" t="shared" si="21" ref="N71:N102">_xlfn.IFERROR(((J71-K71)/F71*M71/30.44),0)</f>
        <v>3876.070332347788</v>
      </c>
      <c r="O71" s="27">
        <f t="shared" si="6"/>
        <v>25883.93</v>
      </c>
      <c r="P71" s="27">
        <f t="shared" si="7"/>
        <v>0</v>
      </c>
      <c r="Q71" s="27">
        <f t="shared" si="9"/>
        <v>9544.911769053877</v>
      </c>
      <c r="R71" s="42">
        <f t="shared" si="8"/>
        <v>16339.018230946123</v>
      </c>
      <c r="S71" s="27"/>
      <c r="T71" s="43"/>
      <c r="U71" s="43"/>
      <c r="V71" s="45"/>
    </row>
    <row r="72" spans="1:22" ht="12.75">
      <c r="A72" s="116" t="s">
        <v>88</v>
      </c>
      <c r="B72" s="118" t="s">
        <v>93</v>
      </c>
      <c r="C72" s="118"/>
      <c r="D72" s="117">
        <v>41206</v>
      </c>
      <c r="E72" s="119">
        <v>-4</v>
      </c>
      <c r="F72" s="116">
        <v>36</v>
      </c>
      <c r="G72" s="33">
        <f t="shared" si="16"/>
        <v>26.21550591327201</v>
      </c>
      <c r="H72" s="17">
        <f t="shared" si="17"/>
        <v>42301.84</v>
      </c>
      <c r="I72" s="41">
        <f t="shared" si="18"/>
        <v>0.33333333333333337</v>
      </c>
      <c r="J72" s="121">
        <v>1662.5</v>
      </c>
      <c r="K72" s="121"/>
      <c r="L72" s="63">
        <f t="shared" si="19"/>
        <v>1210.6466272448533</v>
      </c>
      <c r="M72" s="26">
        <f t="shared" si="20"/>
        <v>297.8399999999965</v>
      </c>
      <c r="N72" s="62">
        <f t="shared" si="21"/>
        <v>451.85337275514144</v>
      </c>
      <c r="O72" s="27">
        <f aca="true" t="shared" si="22" ref="O72:O152">+J72</f>
        <v>1662.5</v>
      </c>
      <c r="P72" s="27">
        <f aca="true" t="shared" si="23" ref="P72:P152">+K72</f>
        <v>0</v>
      </c>
      <c r="Q72" s="27">
        <f aca="true" t="shared" si="24" ref="Q72:Q152">+L72+N72</f>
        <v>1662.4999999999948</v>
      </c>
      <c r="R72" s="42">
        <f aca="true" t="shared" si="25" ref="R72:R152">+O72-P72-Q72</f>
        <v>5.229594535194337E-12</v>
      </c>
      <c r="S72" s="27"/>
      <c r="T72" s="44"/>
      <c r="U72" s="43"/>
      <c r="V72" s="45"/>
    </row>
    <row r="73" spans="1:22" ht="12.75">
      <c r="A73" s="116" t="s">
        <v>27</v>
      </c>
      <c r="B73" s="118" t="s">
        <v>94</v>
      </c>
      <c r="C73" s="118"/>
      <c r="D73" s="117">
        <v>41236</v>
      </c>
      <c r="E73" s="119">
        <v>-2</v>
      </c>
      <c r="F73" s="116">
        <v>120</v>
      </c>
      <c r="G73" s="33">
        <f t="shared" si="16"/>
        <v>25.229960578186596</v>
      </c>
      <c r="H73" s="17">
        <f t="shared" si="17"/>
        <v>44888.8</v>
      </c>
      <c r="I73" s="41">
        <f t="shared" si="18"/>
        <v>0.1</v>
      </c>
      <c r="J73" s="121">
        <v>1554.85</v>
      </c>
      <c r="K73" s="121"/>
      <c r="L73" s="63">
        <f t="shared" si="19"/>
        <v>326.90670170827855</v>
      </c>
      <c r="M73" s="26">
        <f t="shared" si="20"/>
        <v>547</v>
      </c>
      <c r="N73" s="62">
        <f t="shared" si="21"/>
        <v>232.8358930135786</v>
      </c>
      <c r="O73" s="27">
        <f t="shared" si="22"/>
        <v>1554.85</v>
      </c>
      <c r="P73" s="27">
        <f t="shared" si="23"/>
        <v>0</v>
      </c>
      <c r="Q73" s="27">
        <f t="shared" si="24"/>
        <v>559.7425947218571</v>
      </c>
      <c r="R73" s="42">
        <f t="shared" si="25"/>
        <v>995.1074052781428</v>
      </c>
      <c r="S73" s="27"/>
      <c r="T73" s="44"/>
      <c r="U73" s="43"/>
      <c r="V73" s="45"/>
    </row>
    <row r="74" spans="1:22" ht="12.75">
      <c r="A74" s="116" t="s">
        <v>27</v>
      </c>
      <c r="B74" s="118" t="s">
        <v>95</v>
      </c>
      <c r="C74" s="118"/>
      <c r="D74" s="117">
        <v>41257</v>
      </c>
      <c r="E74" s="119">
        <v>-2</v>
      </c>
      <c r="F74" s="116">
        <v>120</v>
      </c>
      <c r="G74" s="33">
        <f t="shared" si="16"/>
        <v>24.540078843626805</v>
      </c>
      <c r="H74" s="17">
        <f t="shared" si="17"/>
        <v>44909.8</v>
      </c>
      <c r="I74" s="41">
        <f t="shared" si="18"/>
        <v>0.1</v>
      </c>
      <c r="J74" s="121">
        <v>3500</v>
      </c>
      <c r="K74" s="121"/>
      <c r="L74" s="63">
        <f t="shared" si="19"/>
        <v>715.7522996057819</v>
      </c>
      <c r="M74" s="26">
        <f t="shared" si="20"/>
        <v>547</v>
      </c>
      <c r="N74" s="62">
        <f t="shared" si="21"/>
        <v>524.1184844502848</v>
      </c>
      <c r="O74" s="27">
        <f t="shared" si="22"/>
        <v>3500</v>
      </c>
      <c r="P74" s="27">
        <f t="shared" si="23"/>
        <v>0</v>
      </c>
      <c r="Q74" s="27">
        <f t="shared" si="24"/>
        <v>1239.8707840560667</v>
      </c>
      <c r="R74" s="42">
        <f t="shared" si="25"/>
        <v>2260.1292159439336</v>
      </c>
      <c r="S74" s="27"/>
      <c r="T74" s="43"/>
      <c r="U74" s="43"/>
      <c r="V74" s="45"/>
    </row>
    <row r="75" spans="1:22" ht="12.75">
      <c r="A75" s="116" t="s">
        <v>28</v>
      </c>
      <c r="B75" s="118" t="s">
        <v>96</v>
      </c>
      <c r="C75" s="118"/>
      <c r="D75" s="117">
        <v>41275</v>
      </c>
      <c r="E75" s="119">
        <v>-6</v>
      </c>
      <c r="F75" s="116">
        <v>120</v>
      </c>
      <c r="G75" s="33">
        <f t="shared" si="16"/>
        <v>23.94875164257556</v>
      </c>
      <c r="H75" s="17">
        <f t="shared" si="17"/>
        <v>44927.8</v>
      </c>
      <c r="I75" s="41">
        <f t="shared" si="18"/>
        <v>0.1</v>
      </c>
      <c r="J75" s="121"/>
      <c r="K75" s="121"/>
      <c r="L75" s="63">
        <f t="shared" si="19"/>
        <v>0</v>
      </c>
      <c r="M75" s="26">
        <f t="shared" si="20"/>
        <v>547</v>
      </c>
      <c r="N75" s="62">
        <f t="shared" si="21"/>
        <v>0</v>
      </c>
      <c r="O75" s="27">
        <f t="shared" si="22"/>
        <v>0</v>
      </c>
      <c r="P75" s="27">
        <f t="shared" si="23"/>
        <v>0</v>
      </c>
      <c r="Q75" s="27">
        <f t="shared" si="24"/>
        <v>0</v>
      </c>
      <c r="R75" s="42">
        <f t="shared" si="25"/>
        <v>0</v>
      </c>
      <c r="S75" s="27"/>
      <c r="T75" s="43"/>
      <c r="U75" s="43"/>
      <c r="V75" s="45"/>
    </row>
    <row r="76" spans="1:22" ht="12.75">
      <c r="A76" s="116" t="s">
        <v>27</v>
      </c>
      <c r="B76" s="118" t="s">
        <v>97</v>
      </c>
      <c r="C76" s="118"/>
      <c r="D76" s="117">
        <v>41275</v>
      </c>
      <c r="E76" s="119">
        <v>-2</v>
      </c>
      <c r="F76" s="116">
        <f>8*12</f>
        <v>96</v>
      </c>
      <c r="G76" s="33">
        <f t="shared" si="16"/>
        <v>23.94875164257556</v>
      </c>
      <c r="H76" s="17">
        <f t="shared" si="17"/>
        <v>44197.24</v>
      </c>
      <c r="I76" s="41">
        <f t="shared" si="18"/>
        <v>0.125</v>
      </c>
      <c r="J76" s="121">
        <v>40000</v>
      </c>
      <c r="K76" s="121"/>
      <c r="L76" s="63">
        <f t="shared" si="19"/>
        <v>9978.646517739817</v>
      </c>
      <c r="M76" s="26">
        <f t="shared" si="20"/>
        <v>547</v>
      </c>
      <c r="N76" s="62">
        <f t="shared" si="21"/>
        <v>7487.406920718353</v>
      </c>
      <c r="O76" s="27">
        <f t="shared" si="22"/>
        <v>40000</v>
      </c>
      <c r="P76" s="27">
        <f t="shared" si="23"/>
        <v>0</v>
      </c>
      <c r="Q76" s="27">
        <f t="shared" si="24"/>
        <v>17466.05343845817</v>
      </c>
      <c r="R76" s="42">
        <f t="shared" si="25"/>
        <v>22533.94656154183</v>
      </c>
      <c r="S76" s="27"/>
      <c r="T76" s="44"/>
      <c r="U76" s="43"/>
      <c r="V76" s="45"/>
    </row>
    <row r="77" spans="1:22" ht="12.75">
      <c r="A77" s="116" t="s">
        <v>28</v>
      </c>
      <c r="B77" s="118" t="s">
        <v>97</v>
      </c>
      <c r="C77" s="118"/>
      <c r="D77" s="117">
        <v>41275</v>
      </c>
      <c r="E77" s="119">
        <v>-6</v>
      </c>
      <c r="F77" s="116">
        <v>120</v>
      </c>
      <c r="G77" s="33">
        <f t="shared" si="16"/>
        <v>23.94875164257556</v>
      </c>
      <c r="H77" s="17">
        <f t="shared" si="17"/>
        <v>44927.8</v>
      </c>
      <c r="I77" s="41">
        <f t="shared" si="18"/>
        <v>0.1</v>
      </c>
      <c r="J77" s="121">
        <v>35000</v>
      </c>
      <c r="K77" s="121"/>
      <c r="L77" s="63">
        <f t="shared" si="19"/>
        <v>6985.052562417872</v>
      </c>
      <c r="M77" s="26">
        <f t="shared" si="20"/>
        <v>547</v>
      </c>
      <c r="N77" s="62">
        <f t="shared" si="21"/>
        <v>5241.184844502847</v>
      </c>
      <c r="O77" s="27">
        <f t="shared" si="22"/>
        <v>35000</v>
      </c>
      <c r="P77" s="27">
        <f t="shared" si="23"/>
        <v>0</v>
      </c>
      <c r="Q77" s="27">
        <f t="shared" si="24"/>
        <v>12226.237406920718</v>
      </c>
      <c r="R77" s="42">
        <f t="shared" si="25"/>
        <v>22773.762593079282</v>
      </c>
      <c r="S77" s="27"/>
      <c r="T77" s="43"/>
      <c r="U77" s="43"/>
      <c r="V77" s="45"/>
    </row>
    <row r="78" spans="1:22" ht="12.75">
      <c r="A78" s="116" t="s">
        <v>28</v>
      </c>
      <c r="B78" s="118" t="s">
        <v>97</v>
      </c>
      <c r="C78" s="118"/>
      <c r="D78" s="117">
        <v>41275</v>
      </c>
      <c r="E78" s="119">
        <v>-6</v>
      </c>
      <c r="F78" s="116">
        <v>120</v>
      </c>
      <c r="G78" s="33">
        <f t="shared" si="16"/>
        <v>23.94875164257556</v>
      </c>
      <c r="H78" s="17">
        <f t="shared" si="17"/>
        <v>44927.8</v>
      </c>
      <c r="I78" s="41">
        <f t="shared" si="18"/>
        <v>0.1</v>
      </c>
      <c r="J78" s="121">
        <v>32000</v>
      </c>
      <c r="K78" s="121"/>
      <c r="L78" s="63">
        <f t="shared" si="19"/>
        <v>6386.333771353483</v>
      </c>
      <c r="M78" s="26">
        <f t="shared" si="20"/>
        <v>547</v>
      </c>
      <c r="N78" s="62">
        <f t="shared" si="21"/>
        <v>4791.940429259746</v>
      </c>
      <c r="O78" s="27">
        <f t="shared" si="22"/>
        <v>32000</v>
      </c>
      <c r="P78" s="27">
        <f t="shared" si="23"/>
        <v>0</v>
      </c>
      <c r="Q78" s="27">
        <f t="shared" si="24"/>
        <v>11178.274200613228</v>
      </c>
      <c r="R78" s="42">
        <f t="shared" si="25"/>
        <v>20821.72579938677</v>
      </c>
      <c r="S78" s="27"/>
      <c r="T78" s="43"/>
      <c r="U78" s="43"/>
      <c r="V78" s="45"/>
    </row>
    <row r="79" spans="1:22" ht="12.75">
      <c r="A79" s="116" t="s">
        <v>28</v>
      </c>
      <c r="B79" s="118" t="s">
        <v>98</v>
      </c>
      <c r="C79" s="118"/>
      <c r="D79" s="117">
        <v>41275</v>
      </c>
      <c r="E79" s="119">
        <v>-6</v>
      </c>
      <c r="F79" s="116">
        <v>120</v>
      </c>
      <c r="G79" s="33">
        <f t="shared" si="16"/>
        <v>23.94875164257556</v>
      </c>
      <c r="H79" s="17">
        <f t="shared" si="17"/>
        <v>44927.8</v>
      </c>
      <c r="I79" s="41">
        <f t="shared" si="18"/>
        <v>0.1</v>
      </c>
      <c r="J79" s="121">
        <v>20000</v>
      </c>
      <c r="K79" s="121"/>
      <c r="L79" s="63">
        <f t="shared" si="19"/>
        <v>3991.4586070959263</v>
      </c>
      <c r="M79" s="26">
        <f t="shared" si="20"/>
        <v>547</v>
      </c>
      <c r="N79" s="62">
        <f t="shared" si="21"/>
        <v>2994.9627682873406</v>
      </c>
      <c r="O79" s="27">
        <f t="shared" si="22"/>
        <v>20000</v>
      </c>
      <c r="P79" s="27">
        <f t="shared" si="23"/>
        <v>0</v>
      </c>
      <c r="Q79" s="27">
        <f t="shared" si="24"/>
        <v>6986.421375383266</v>
      </c>
      <c r="R79" s="42">
        <f t="shared" si="25"/>
        <v>13013.578624616734</v>
      </c>
      <c r="S79" s="27"/>
      <c r="T79" s="43"/>
      <c r="U79" s="43"/>
      <c r="V79" s="45"/>
    </row>
    <row r="80" spans="1:22" ht="12.75">
      <c r="A80" s="116" t="s">
        <v>28</v>
      </c>
      <c r="B80" s="118" t="s">
        <v>99</v>
      </c>
      <c r="C80" s="118"/>
      <c r="D80" s="117">
        <v>41288</v>
      </c>
      <c r="E80" s="119">
        <v>-6</v>
      </c>
      <c r="F80" s="116">
        <v>120</v>
      </c>
      <c r="G80" s="33">
        <f t="shared" si="16"/>
        <v>23.52168199737188</v>
      </c>
      <c r="H80" s="17">
        <f t="shared" si="17"/>
        <v>44940.8</v>
      </c>
      <c r="I80" s="41">
        <f t="shared" si="18"/>
        <v>0.1</v>
      </c>
      <c r="J80" s="121">
        <v>44000</v>
      </c>
      <c r="K80" s="121"/>
      <c r="L80" s="63">
        <f t="shared" si="19"/>
        <v>8624.61673236969</v>
      </c>
      <c r="M80" s="26">
        <f t="shared" si="20"/>
        <v>547</v>
      </c>
      <c r="N80" s="62">
        <f t="shared" si="21"/>
        <v>6588.918090232151</v>
      </c>
      <c r="O80" s="27">
        <f t="shared" si="22"/>
        <v>44000</v>
      </c>
      <c r="P80" s="27">
        <f t="shared" si="23"/>
        <v>0</v>
      </c>
      <c r="Q80" s="27">
        <f t="shared" si="24"/>
        <v>15213.534822601841</v>
      </c>
      <c r="R80" s="42">
        <f t="shared" si="25"/>
        <v>28786.46517739816</v>
      </c>
      <c r="S80" s="27"/>
      <c r="T80" s="43"/>
      <c r="U80" s="43"/>
      <c r="V80" s="45"/>
    </row>
    <row r="81" spans="1:22" ht="12.75">
      <c r="A81" s="116" t="s">
        <v>88</v>
      </c>
      <c r="B81" s="118" t="s">
        <v>100</v>
      </c>
      <c r="C81" s="118"/>
      <c r="D81" s="117">
        <v>41312</v>
      </c>
      <c r="E81" s="119">
        <v>-4</v>
      </c>
      <c r="F81" s="116">
        <v>36</v>
      </c>
      <c r="G81" s="33">
        <f t="shared" si="16"/>
        <v>22.733245729303547</v>
      </c>
      <c r="H81" s="17">
        <f t="shared" si="17"/>
        <v>42407.84</v>
      </c>
      <c r="I81" s="41">
        <f t="shared" si="18"/>
        <v>0.33333333333333337</v>
      </c>
      <c r="J81" s="121">
        <v>1337.5</v>
      </c>
      <c r="K81" s="121"/>
      <c r="L81" s="63">
        <f t="shared" si="19"/>
        <v>844.6032267484304</v>
      </c>
      <c r="M81" s="26">
        <f t="shared" si="20"/>
        <v>403.8399999999965</v>
      </c>
      <c r="N81" s="62">
        <f t="shared" si="21"/>
        <v>492.8967732515653</v>
      </c>
      <c r="O81" s="27">
        <f t="shared" si="22"/>
        <v>1337.5</v>
      </c>
      <c r="P81" s="27">
        <f t="shared" si="23"/>
        <v>0</v>
      </c>
      <c r="Q81" s="27">
        <f t="shared" si="24"/>
        <v>1337.4999999999957</v>
      </c>
      <c r="R81" s="42">
        <f t="shared" si="25"/>
        <v>4.320099833421409E-12</v>
      </c>
      <c r="S81" s="27"/>
      <c r="T81" s="44"/>
      <c r="U81" s="43"/>
      <c r="V81" s="45"/>
    </row>
    <row r="82" spans="1:22" ht="12.75">
      <c r="A82" s="116" t="s">
        <v>28</v>
      </c>
      <c r="B82" s="118" t="s">
        <v>101</v>
      </c>
      <c r="C82" s="118"/>
      <c r="D82" s="117">
        <v>41326</v>
      </c>
      <c r="E82" s="119">
        <v>-6</v>
      </c>
      <c r="F82" s="116">
        <v>120</v>
      </c>
      <c r="G82" s="33">
        <f t="shared" si="16"/>
        <v>22.273324572930353</v>
      </c>
      <c r="H82" s="17">
        <f t="shared" si="17"/>
        <v>44978.8</v>
      </c>
      <c r="I82" s="41">
        <f t="shared" si="18"/>
        <v>0.1</v>
      </c>
      <c r="J82" s="121">
        <v>65169.64</v>
      </c>
      <c r="K82" s="121"/>
      <c r="L82" s="63">
        <f t="shared" si="19"/>
        <v>12096.20453350854</v>
      </c>
      <c r="M82" s="26">
        <f t="shared" si="20"/>
        <v>547</v>
      </c>
      <c r="N82" s="62">
        <f t="shared" si="21"/>
        <v>9759.03227113447</v>
      </c>
      <c r="O82" s="27">
        <f t="shared" si="22"/>
        <v>65169.64</v>
      </c>
      <c r="P82" s="27">
        <f t="shared" si="23"/>
        <v>0</v>
      </c>
      <c r="Q82" s="27">
        <f t="shared" si="24"/>
        <v>21855.236804643013</v>
      </c>
      <c r="R82" s="42">
        <f t="shared" si="25"/>
        <v>43314.40319535699</v>
      </c>
      <c r="S82" s="27"/>
      <c r="T82" s="43"/>
      <c r="U82" s="43"/>
      <c r="V82" s="45"/>
    </row>
    <row r="83" spans="1:22" ht="12.75">
      <c r="A83" s="116" t="s">
        <v>86</v>
      </c>
      <c r="B83" s="118" t="s">
        <v>102</v>
      </c>
      <c r="C83" s="118"/>
      <c r="D83" s="117">
        <v>41328</v>
      </c>
      <c r="E83" s="119">
        <v>-5</v>
      </c>
      <c r="F83" s="116">
        <v>120</v>
      </c>
      <c r="G83" s="33">
        <f t="shared" si="16"/>
        <v>22.207621550591327</v>
      </c>
      <c r="H83" s="17">
        <f t="shared" si="17"/>
        <v>44980.8</v>
      </c>
      <c r="I83" s="41">
        <f t="shared" si="18"/>
        <v>0.1</v>
      </c>
      <c r="J83" s="121">
        <v>1436.13</v>
      </c>
      <c r="K83" s="121"/>
      <c r="L83" s="63">
        <f t="shared" si="19"/>
        <v>265.77526281208935</v>
      </c>
      <c r="M83" s="26">
        <f t="shared" si="20"/>
        <v>547</v>
      </c>
      <c r="N83" s="62">
        <f t="shared" si="21"/>
        <v>215.05779402102496</v>
      </c>
      <c r="O83" s="27">
        <f t="shared" si="22"/>
        <v>1436.13</v>
      </c>
      <c r="P83" s="27">
        <f t="shared" si="23"/>
        <v>0</v>
      </c>
      <c r="Q83" s="27">
        <f t="shared" si="24"/>
        <v>480.8330568331143</v>
      </c>
      <c r="R83" s="42">
        <f t="shared" si="25"/>
        <v>955.2969431668857</v>
      </c>
      <c r="S83" s="27"/>
      <c r="T83" s="44"/>
      <c r="U83" s="43"/>
      <c r="V83" s="45"/>
    </row>
    <row r="84" spans="1:22" ht="12.75">
      <c r="A84" s="116" t="s">
        <v>35</v>
      </c>
      <c r="B84" s="118" t="s">
        <v>103</v>
      </c>
      <c r="C84" s="118"/>
      <c r="D84" s="117">
        <v>41340</v>
      </c>
      <c r="E84" s="119">
        <v>-3</v>
      </c>
      <c r="F84" s="116">
        <v>120</v>
      </c>
      <c r="G84" s="33">
        <f t="shared" si="16"/>
        <v>21.81340341655716</v>
      </c>
      <c r="H84" s="17">
        <f t="shared" si="17"/>
        <v>44992.8</v>
      </c>
      <c r="I84" s="41">
        <f t="shared" si="18"/>
        <v>0.1</v>
      </c>
      <c r="J84" s="121">
        <v>11196.43</v>
      </c>
      <c r="K84" s="121"/>
      <c r="L84" s="63">
        <f t="shared" si="19"/>
        <v>2035.2687034603591</v>
      </c>
      <c r="M84" s="26">
        <f t="shared" si="20"/>
        <v>547</v>
      </c>
      <c r="N84" s="62">
        <f t="shared" si="21"/>
        <v>1676.6445493867718</v>
      </c>
      <c r="O84" s="27">
        <f t="shared" si="22"/>
        <v>11196.43</v>
      </c>
      <c r="P84" s="27">
        <f t="shared" si="23"/>
        <v>0</v>
      </c>
      <c r="Q84" s="27">
        <f t="shared" si="24"/>
        <v>3711.913252847131</v>
      </c>
      <c r="R84" s="42">
        <f t="shared" si="25"/>
        <v>7484.516747152869</v>
      </c>
      <c r="S84" s="27"/>
      <c r="T84" s="43"/>
      <c r="U84" s="43"/>
      <c r="V84" s="45"/>
    </row>
    <row r="85" spans="1:22" ht="12.75">
      <c r="A85" s="116" t="s">
        <v>88</v>
      </c>
      <c r="B85" s="118" t="s">
        <v>104</v>
      </c>
      <c r="C85" s="118"/>
      <c r="D85" s="117">
        <v>41340</v>
      </c>
      <c r="E85" s="119">
        <v>-4</v>
      </c>
      <c r="F85" s="116">
        <v>36</v>
      </c>
      <c r="G85" s="33">
        <f t="shared" si="16"/>
        <v>21.81340341655716</v>
      </c>
      <c r="H85" s="17">
        <f t="shared" si="17"/>
        <v>42435.84</v>
      </c>
      <c r="I85" s="41">
        <f t="shared" si="18"/>
        <v>0.33333333333333337</v>
      </c>
      <c r="J85" s="121">
        <v>1739.25</v>
      </c>
      <c r="K85" s="121"/>
      <c r="L85" s="63">
        <f t="shared" si="19"/>
        <v>1053.8600525624179</v>
      </c>
      <c r="M85" s="26">
        <f t="shared" si="20"/>
        <v>431.8399999999965</v>
      </c>
      <c r="N85" s="62">
        <f t="shared" si="21"/>
        <v>685.3899474375766</v>
      </c>
      <c r="O85" s="27">
        <f t="shared" si="22"/>
        <v>1739.25</v>
      </c>
      <c r="P85" s="27">
        <f t="shared" si="23"/>
        <v>0</v>
      </c>
      <c r="Q85" s="27">
        <f t="shared" si="24"/>
        <v>1739.2499999999945</v>
      </c>
      <c r="R85" s="42">
        <f t="shared" si="25"/>
        <v>5.4569682106375694E-12</v>
      </c>
      <c r="S85" s="27"/>
      <c r="T85" s="44"/>
      <c r="U85" s="43"/>
      <c r="V85" s="45"/>
    </row>
    <row r="86" spans="1:22" ht="12.75">
      <c r="A86" s="116" t="s">
        <v>35</v>
      </c>
      <c r="B86" s="118" t="s">
        <v>105</v>
      </c>
      <c r="C86" s="118"/>
      <c r="D86" s="117">
        <v>41347</v>
      </c>
      <c r="E86" s="119">
        <v>-3</v>
      </c>
      <c r="F86" s="116">
        <v>120</v>
      </c>
      <c r="G86" s="33">
        <f t="shared" si="16"/>
        <v>21.583442838370566</v>
      </c>
      <c r="H86" s="17">
        <f t="shared" si="17"/>
        <v>44999.8</v>
      </c>
      <c r="I86" s="41">
        <f t="shared" si="18"/>
        <v>0.1</v>
      </c>
      <c r="J86" s="121">
        <v>2235</v>
      </c>
      <c r="K86" s="121"/>
      <c r="L86" s="63">
        <f t="shared" si="19"/>
        <v>401.9916228646518</v>
      </c>
      <c r="M86" s="26">
        <f t="shared" si="20"/>
        <v>547</v>
      </c>
      <c r="N86" s="62">
        <f t="shared" si="21"/>
        <v>334.6870893561104</v>
      </c>
      <c r="O86" s="27">
        <f t="shared" si="22"/>
        <v>2235</v>
      </c>
      <c r="P86" s="27">
        <f t="shared" si="23"/>
        <v>0</v>
      </c>
      <c r="Q86" s="27">
        <f t="shared" si="24"/>
        <v>736.6787122207622</v>
      </c>
      <c r="R86" s="42">
        <f t="shared" si="25"/>
        <v>1498.3212877792378</v>
      </c>
      <c r="S86" s="27"/>
      <c r="T86" s="43"/>
      <c r="U86" s="43"/>
      <c r="V86" s="45"/>
    </row>
    <row r="87" spans="1:22" ht="12.75">
      <c r="A87" s="116" t="s">
        <v>88</v>
      </c>
      <c r="B87" s="118" t="s">
        <v>106</v>
      </c>
      <c r="C87" s="118"/>
      <c r="D87" s="117">
        <v>41350</v>
      </c>
      <c r="E87" s="119">
        <v>-4</v>
      </c>
      <c r="F87" s="116">
        <v>36</v>
      </c>
      <c r="G87" s="33">
        <f t="shared" si="16"/>
        <v>21.48488830486202</v>
      </c>
      <c r="H87" s="17">
        <f t="shared" si="17"/>
        <v>42445.84</v>
      </c>
      <c r="I87" s="41">
        <f t="shared" si="18"/>
        <v>0.33333333333333337</v>
      </c>
      <c r="J87" s="121">
        <v>419.64</v>
      </c>
      <c r="K87" s="121"/>
      <c r="L87" s="63">
        <f t="shared" si="19"/>
        <v>250.44218134034162</v>
      </c>
      <c r="M87" s="26">
        <f t="shared" si="20"/>
        <v>441.8399999999965</v>
      </c>
      <c r="N87" s="62">
        <f t="shared" si="21"/>
        <v>169.19781865965697</v>
      </c>
      <c r="O87" s="27">
        <f t="shared" si="22"/>
        <v>419.64</v>
      </c>
      <c r="P87" s="27">
        <f t="shared" si="23"/>
        <v>0</v>
      </c>
      <c r="Q87" s="27">
        <f t="shared" si="24"/>
        <v>419.6399999999986</v>
      </c>
      <c r="R87" s="42">
        <f t="shared" si="25"/>
        <v>1.3642420526593924E-12</v>
      </c>
      <c r="S87" s="27"/>
      <c r="T87" s="44"/>
      <c r="U87" s="43"/>
      <c r="V87" s="45"/>
    </row>
    <row r="88" spans="1:22" ht="12.75">
      <c r="A88" s="116" t="s">
        <v>35</v>
      </c>
      <c r="B88" s="118" t="s">
        <v>107</v>
      </c>
      <c r="C88" s="118"/>
      <c r="D88" s="117">
        <v>41360</v>
      </c>
      <c r="E88" s="119">
        <v>-3</v>
      </c>
      <c r="F88" s="116">
        <v>120</v>
      </c>
      <c r="G88" s="33">
        <f t="shared" si="16"/>
        <v>21.156373193166885</v>
      </c>
      <c r="H88" s="17">
        <f t="shared" si="17"/>
        <v>45012.8</v>
      </c>
      <c r="I88" s="41">
        <f t="shared" si="18"/>
        <v>0.1</v>
      </c>
      <c r="J88" s="121">
        <v>300</v>
      </c>
      <c r="K88" s="121"/>
      <c r="L88" s="63">
        <f t="shared" si="19"/>
        <v>52.890932982917214</v>
      </c>
      <c r="M88" s="26">
        <f t="shared" si="20"/>
        <v>547</v>
      </c>
      <c r="N88" s="62">
        <f t="shared" si="21"/>
        <v>44.92444152431012</v>
      </c>
      <c r="O88" s="27">
        <f t="shared" si="22"/>
        <v>300</v>
      </c>
      <c r="P88" s="27">
        <f t="shared" si="23"/>
        <v>0</v>
      </c>
      <c r="Q88" s="27">
        <f t="shared" si="24"/>
        <v>97.81537450722733</v>
      </c>
      <c r="R88" s="42">
        <f t="shared" si="25"/>
        <v>202.18462549277268</v>
      </c>
      <c r="S88" s="27"/>
      <c r="T88" s="43"/>
      <c r="U88" s="43"/>
      <c r="V88" s="45"/>
    </row>
    <row r="89" spans="1:22" ht="12.75">
      <c r="A89" s="116" t="s">
        <v>35</v>
      </c>
      <c r="B89" s="118" t="s">
        <v>105</v>
      </c>
      <c r="C89" s="118"/>
      <c r="D89" s="117">
        <v>41388</v>
      </c>
      <c r="E89" s="119">
        <v>-3</v>
      </c>
      <c r="F89" s="116">
        <v>120</v>
      </c>
      <c r="G89" s="33">
        <f t="shared" si="16"/>
        <v>20.2365308804205</v>
      </c>
      <c r="H89" s="17">
        <f t="shared" si="17"/>
        <v>45040.8</v>
      </c>
      <c r="I89" s="41">
        <f t="shared" si="18"/>
        <v>0.1</v>
      </c>
      <c r="J89" s="120">
        <v>4269.24</v>
      </c>
      <c r="K89" s="120"/>
      <c r="L89" s="63">
        <f t="shared" si="19"/>
        <v>719.9550591327201</v>
      </c>
      <c r="M89" s="26">
        <f t="shared" si="20"/>
        <v>547</v>
      </c>
      <c r="N89" s="62">
        <f t="shared" si="21"/>
        <v>639.3107424441523</v>
      </c>
      <c r="O89" s="27">
        <f t="shared" si="22"/>
        <v>4269.24</v>
      </c>
      <c r="P89" s="27">
        <f t="shared" si="23"/>
        <v>0</v>
      </c>
      <c r="Q89" s="27">
        <f t="shared" si="24"/>
        <v>1359.2658015768725</v>
      </c>
      <c r="R89" s="42">
        <f t="shared" si="25"/>
        <v>2909.9741984231273</v>
      </c>
      <c r="S89" s="27"/>
      <c r="T89" s="43"/>
      <c r="U89" s="43"/>
      <c r="V89" s="45"/>
    </row>
    <row r="90" spans="1:22" ht="12.75">
      <c r="A90" s="116" t="s">
        <v>88</v>
      </c>
      <c r="B90" s="118" t="s">
        <v>108</v>
      </c>
      <c r="C90" s="118"/>
      <c r="D90" s="117">
        <v>41404</v>
      </c>
      <c r="E90" s="119">
        <v>-4</v>
      </c>
      <c r="F90" s="116">
        <v>36</v>
      </c>
      <c r="G90" s="33">
        <f t="shared" si="16"/>
        <v>19.71090670170828</v>
      </c>
      <c r="H90" s="17">
        <f t="shared" si="17"/>
        <v>42499.84</v>
      </c>
      <c r="I90" s="41">
        <f t="shared" si="18"/>
        <v>0.33333333333333337</v>
      </c>
      <c r="J90" s="121">
        <v>1680</v>
      </c>
      <c r="K90" s="121"/>
      <c r="L90" s="63">
        <f t="shared" si="19"/>
        <v>919.8423127463863</v>
      </c>
      <c r="M90" s="26">
        <f t="shared" si="20"/>
        <v>495.8399999999965</v>
      </c>
      <c r="N90" s="62">
        <f t="shared" si="21"/>
        <v>760.1576872536083</v>
      </c>
      <c r="O90" s="27">
        <f t="shared" si="22"/>
        <v>1680</v>
      </c>
      <c r="P90" s="27">
        <f t="shared" si="23"/>
        <v>0</v>
      </c>
      <c r="Q90" s="27">
        <f t="shared" si="24"/>
        <v>1679.9999999999945</v>
      </c>
      <c r="R90" s="42">
        <f t="shared" si="25"/>
        <v>5.4569682106375694E-12</v>
      </c>
      <c r="S90" s="27"/>
      <c r="T90" s="44"/>
      <c r="U90" s="43"/>
      <c r="V90" s="45"/>
    </row>
    <row r="91" spans="1:22" ht="12.75">
      <c r="A91" s="116" t="s">
        <v>27</v>
      </c>
      <c r="B91" s="118" t="s">
        <v>109</v>
      </c>
      <c r="C91" s="118"/>
      <c r="D91" s="117">
        <v>41409</v>
      </c>
      <c r="E91" s="119">
        <v>-2</v>
      </c>
      <c r="F91" s="116">
        <v>120</v>
      </c>
      <c r="G91" s="33">
        <f t="shared" si="16"/>
        <v>19.54664914586071</v>
      </c>
      <c r="H91" s="17">
        <f t="shared" si="17"/>
        <v>45061.8</v>
      </c>
      <c r="I91" s="41">
        <f t="shared" si="18"/>
        <v>0.1</v>
      </c>
      <c r="J91" s="121">
        <v>14000</v>
      </c>
      <c r="K91" s="121"/>
      <c r="L91" s="63">
        <f t="shared" si="19"/>
        <v>2280.442400350416</v>
      </c>
      <c r="M91" s="26">
        <f t="shared" si="20"/>
        <v>547</v>
      </c>
      <c r="N91" s="62">
        <f t="shared" si="21"/>
        <v>2096.473937801139</v>
      </c>
      <c r="O91" s="27">
        <f t="shared" si="22"/>
        <v>14000</v>
      </c>
      <c r="P91" s="27">
        <f t="shared" si="23"/>
        <v>0</v>
      </c>
      <c r="Q91" s="27">
        <f t="shared" si="24"/>
        <v>4376.9163381515555</v>
      </c>
      <c r="R91" s="42">
        <f t="shared" si="25"/>
        <v>9623.083661848445</v>
      </c>
      <c r="S91" s="27"/>
      <c r="T91" s="43"/>
      <c r="U91" s="43"/>
      <c r="V91" s="45"/>
    </row>
    <row r="92" spans="1:22" ht="12.75">
      <c r="A92" s="116" t="s">
        <v>88</v>
      </c>
      <c r="B92" s="118" t="s">
        <v>110</v>
      </c>
      <c r="C92" s="118"/>
      <c r="D92" s="117">
        <v>41414</v>
      </c>
      <c r="E92" s="119">
        <v>-4</v>
      </c>
      <c r="F92" s="116">
        <v>36</v>
      </c>
      <c r="G92" s="33">
        <f t="shared" si="16"/>
        <v>19.38239159001314</v>
      </c>
      <c r="H92" s="17">
        <f t="shared" si="17"/>
        <v>42509.84</v>
      </c>
      <c r="I92" s="41">
        <f t="shared" si="18"/>
        <v>0.33333333333333337</v>
      </c>
      <c r="J92" s="121">
        <v>1126.8</v>
      </c>
      <c r="K92" s="121"/>
      <c r="L92" s="63">
        <f t="shared" si="19"/>
        <v>606.6688567674112</v>
      </c>
      <c r="M92" s="26">
        <f t="shared" si="20"/>
        <v>505.8399999999965</v>
      </c>
      <c r="N92" s="62">
        <f t="shared" si="21"/>
        <v>520.131143232585</v>
      </c>
      <c r="O92" s="27">
        <f t="shared" si="22"/>
        <v>1126.8</v>
      </c>
      <c r="P92" s="27">
        <f t="shared" si="23"/>
        <v>0</v>
      </c>
      <c r="Q92" s="27">
        <f t="shared" si="24"/>
        <v>1126.799999999996</v>
      </c>
      <c r="R92" s="42">
        <f t="shared" si="25"/>
        <v>3.865352482534945E-12</v>
      </c>
      <c r="S92" s="27"/>
      <c r="T92" s="44"/>
      <c r="U92" s="43"/>
      <c r="V92" s="45"/>
    </row>
    <row r="93" spans="1:22" ht="12.75">
      <c r="A93" s="116" t="s">
        <v>27</v>
      </c>
      <c r="B93" s="118" t="s">
        <v>111</v>
      </c>
      <c r="C93" s="118"/>
      <c r="D93" s="117">
        <v>41453</v>
      </c>
      <c r="E93" s="119">
        <v>-2</v>
      </c>
      <c r="F93" s="116">
        <v>120</v>
      </c>
      <c r="G93" s="33">
        <f t="shared" si="16"/>
        <v>18.101182654402102</v>
      </c>
      <c r="H93" s="17">
        <f t="shared" si="17"/>
        <v>45105.8</v>
      </c>
      <c r="I93" s="41">
        <f t="shared" si="18"/>
        <v>0.1</v>
      </c>
      <c r="J93" s="122">
        <v>7600</v>
      </c>
      <c r="K93" s="122"/>
      <c r="L93" s="63">
        <f t="shared" si="19"/>
        <v>1146.4082347787999</v>
      </c>
      <c r="M93" s="26">
        <f t="shared" si="20"/>
        <v>547</v>
      </c>
      <c r="N93" s="62">
        <f t="shared" si="21"/>
        <v>1138.0858519491896</v>
      </c>
      <c r="O93" s="27">
        <f t="shared" si="22"/>
        <v>7600</v>
      </c>
      <c r="P93" s="27">
        <f t="shared" si="23"/>
        <v>0</v>
      </c>
      <c r="Q93" s="27">
        <f t="shared" si="24"/>
        <v>2284.4940867279893</v>
      </c>
      <c r="R93" s="42">
        <f t="shared" si="25"/>
        <v>5315.505913272011</v>
      </c>
      <c r="S93" s="28"/>
      <c r="T93" s="44"/>
      <c r="U93" s="43"/>
      <c r="V93" s="45"/>
    </row>
    <row r="94" spans="1:22" ht="12.75">
      <c r="A94" s="116" t="s">
        <v>35</v>
      </c>
      <c r="B94" s="118" t="s">
        <v>112</v>
      </c>
      <c r="C94" s="118"/>
      <c r="D94" s="117">
        <v>41466</v>
      </c>
      <c r="E94" s="119">
        <v>-3</v>
      </c>
      <c r="F94" s="116">
        <v>120</v>
      </c>
      <c r="G94" s="33">
        <f t="shared" si="16"/>
        <v>17.67411300919842</v>
      </c>
      <c r="H94" s="17">
        <f t="shared" si="17"/>
        <v>45118.8</v>
      </c>
      <c r="I94" s="41">
        <f t="shared" si="18"/>
        <v>0.1</v>
      </c>
      <c r="J94" s="120">
        <v>1082.14</v>
      </c>
      <c r="K94" s="120"/>
      <c r="L94" s="63">
        <f t="shared" si="19"/>
        <v>159.38220543144985</v>
      </c>
      <c r="M94" s="26">
        <f t="shared" si="20"/>
        <v>547</v>
      </c>
      <c r="N94" s="62">
        <f t="shared" si="21"/>
        <v>162.04845050372316</v>
      </c>
      <c r="O94" s="27">
        <f t="shared" si="22"/>
        <v>1082.14</v>
      </c>
      <c r="P94" s="27">
        <f t="shared" si="23"/>
        <v>0</v>
      </c>
      <c r="Q94" s="27">
        <f t="shared" si="24"/>
        <v>321.43065593517304</v>
      </c>
      <c r="R94" s="42">
        <f t="shared" si="25"/>
        <v>760.7093440648271</v>
      </c>
      <c r="S94" s="25"/>
      <c r="T94" s="43"/>
      <c r="U94" s="43"/>
      <c r="V94" s="45"/>
    </row>
    <row r="95" spans="1:22" ht="12.75">
      <c r="A95" s="116" t="s">
        <v>88</v>
      </c>
      <c r="B95" s="118" t="s">
        <v>113</v>
      </c>
      <c r="C95" s="118"/>
      <c r="D95" s="117">
        <v>41479</v>
      </c>
      <c r="E95" s="119">
        <v>-4</v>
      </c>
      <c r="F95" s="116">
        <v>36</v>
      </c>
      <c r="G95" s="33">
        <f t="shared" si="16"/>
        <v>17.24704336399474</v>
      </c>
      <c r="H95" s="17">
        <f t="shared" si="17"/>
        <v>42574.84</v>
      </c>
      <c r="I95" s="41">
        <f t="shared" si="18"/>
        <v>0.33333333333333337</v>
      </c>
      <c r="J95" s="121">
        <v>1822.52</v>
      </c>
      <c r="K95" s="121"/>
      <c r="L95" s="63">
        <f t="shared" si="19"/>
        <v>873.1411519929916</v>
      </c>
      <c r="M95" s="26">
        <f t="shared" si="20"/>
        <v>547</v>
      </c>
      <c r="N95" s="62">
        <f t="shared" si="21"/>
        <v>909.7299240765076</v>
      </c>
      <c r="O95" s="27">
        <f t="shared" si="22"/>
        <v>1822.52</v>
      </c>
      <c r="P95" s="27">
        <f t="shared" si="23"/>
        <v>0</v>
      </c>
      <c r="Q95" s="27">
        <f t="shared" si="24"/>
        <v>1782.8710760694992</v>
      </c>
      <c r="R95" s="42">
        <f t="shared" si="25"/>
        <v>39.648923930500814</v>
      </c>
      <c r="S95" s="27"/>
      <c r="T95" s="44"/>
      <c r="U95" s="43"/>
      <c r="V95" s="45"/>
    </row>
    <row r="96" spans="1:22" ht="12.75">
      <c r="A96" s="116" t="s">
        <v>86</v>
      </c>
      <c r="B96" s="118" t="s">
        <v>114</v>
      </c>
      <c r="C96" s="118"/>
      <c r="D96" s="117">
        <v>41491</v>
      </c>
      <c r="E96" s="119">
        <v>-5</v>
      </c>
      <c r="F96" s="116">
        <v>120</v>
      </c>
      <c r="G96" s="33">
        <f t="shared" si="16"/>
        <v>16.852825229960576</v>
      </c>
      <c r="H96" s="17">
        <f t="shared" si="17"/>
        <v>45143.8</v>
      </c>
      <c r="I96" s="41">
        <f t="shared" si="18"/>
        <v>0.1</v>
      </c>
      <c r="J96" s="121">
        <v>986</v>
      </c>
      <c r="K96" s="121"/>
      <c r="L96" s="63">
        <f t="shared" si="19"/>
        <v>138.47404730617606</v>
      </c>
      <c r="M96" s="26">
        <f t="shared" si="20"/>
        <v>547</v>
      </c>
      <c r="N96" s="62">
        <f t="shared" si="21"/>
        <v>147.6516644765659</v>
      </c>
      <c r="O96" s="27">
        <f t="shared" si="22"/>
        <v>986</v>
      </c>
      <c r="P96" s="27">
        <f t="shared" si="23"/>
        <v>0</v>
      </c>
      <c r="Q96" s="27">
        <f t="shared" si="24"/>
        <v>286.125711782742</v>
      </c>
      <c r="R96" s="42">
        <f t="shared" si="25"/>
        <v>699.874288217258</v>
      </c>
      <c r="S96" s="27"/>
      <c r="T96" s="44"/>
      <c r="U96" s="43"/>
      <c r="V96" s="45"/>
    </row>
    <row r="97" spans="1:22" ht="12.75">
      <c r="A97" s="116" t="s">
        <v>27</v>
      </c>
      <c r="B97" s="118" t="s">
        <v>115</v>
      </c>
      <c r="C97" s="118"/>
      <c r="D97" s="117">
        <v>41492</v>
      </c>
      <c r="E97" s="119">
        <v>-2</v>
      </c>
      <c r="F97" s="116">
        <v>120</v>
      </c>
      <c r="G97" s="33">
        <f t="shared" si="16"/>
        <v>16.819973718791065</v>
      </c>
      <c r="H97" s="17">
        <f t="shared" si="17"/>
        <v>45144.8</v>
      </c>
      <c r="I97" s="41">
        <f t="shared" si="18"/>
        <v>0.1</v>
      </c>
      <c r="J97" s="120">
        <v>74000</v>
      </c>
      <c r="K97" s="120"/>
      <c r="L97" s="63">
        <f t="shared" si="19"/>
        <v>10372.317126587823</v>
      </c>
      <c r="M97" s="26">
        <f t="shared" si="20"/>
        <v>547</v>
      </c>
      <c r="N97" s="62">
        <f t="shared" si="21"/>
        <v>11081.362242663161</v>
      </c>
      <c r="O97" s="27">
        <f t="shared" si="22"/>
        <v>74000</v>
      </c>
      <c r="P97" s="27">
        <f t="shared" si="23"/>
        <v>0</v>
      </c>
      <c r="Q97" s="27">
        <f t="shared" si="24"/>
        <v>21453.679369250982</v>
      </c>
      <c r="R97" s="42">
        <f t="shared" si="25"/>
        <v>52546.32063074902</v>
      </c>
      <c r="S97" s="25"/>
      <c r="T97" s="44"/>
      <c r="U97" s="43"/>
      <c r="V97" s="45"/>
    </row>
    <row r="98" spans="1:22" ht="12.75">
      <c r="A98" s="116" t="s">
        <v>88</v>
      </c>
      <c r="B98" s="118" t="s">
        <v>116</v>
      </c>
      <c r="C98" s="118"/>
      <c r="D98" s="117">
        <v>41494</v>
      </c>
      <c r="E98" s="119">
        <v>-4</v>
      </c>
      <c r="F98" s="116">
        <v>36</v>
      </c>
      <c r="G98" s="33">
        <f t="shared" si="16"/>
        <v>16.754270696452036</v>
      </c>
      <c r="H98" s="17">
        <f t="shared" si="17"/>
        <v>42589.84</v>
      </c>
      <c r="I98" s="41">
        <f t="shared" si="18"/>
        <v>0.33333333333333337</v>
      </c>
      <c r="J98" s="121">
        <v>1367</v>
      </c>
      <c r="K98" s="121"/>
      <c r="L98" s="63">
        <f t="shared" si="19"/>
        <v>636.1968900569426</v>
      </c>
      <c r="M98" s="26">
        <f t="shared" si="20"/>
        <v>547</v>
      </c>
      <c r="N98" s="62">
        <f t="shared" si="21"/>
        <v>682.3523507081325</v>
      </c>
      <c r="O98" s="27">
        <f t="shared" si="22"/>
        <v>1367</v>
      </c>
      <c r="P98" s="27">
        <f t="shared" si="23"/>
        <v>0</v>
      </c>
      <c r="Q98" s="27">
        <f t="shared" si="24"/>
        <v>1318.549240765075</v>
      </c>
      <c r="R98" s="42">
        <f t="shared" si="25"/>
        <v>48.450759234925044</v>
      </c>
      <c r="S98" s="27"/>
      <c r="T98" s="44"/>
      <c r="U98" s="43"/>
      <c r="V98" s="45"/>
    </row>
    <row r="99" spans="1:22" ht="12.75">
      <c r="A99" s="116" t="s">
        <v>86</v>
      </c>
      <c r="B99" s="118" t="s">
        <v>117</v>
      </c>
      <c r="C99" s="118"/>
      <c r="D99" s="117">
        <v>41500</v>
      </c>
      <c r="E99" s="119">
        <v>-5</v>
      </c>
      <c r="F99" s="116">
        <v>120</v>
      </c>
      <c r="G99" s="33">
        <f t="shared" si="16"/>
        <v>16.557161629434955</v>
      </c>
      <c r="H99" s="17">
        <f t="shared" si="17"/>
        <v>45152.8</v>
      </c>
      <c r="I99" s="41">
        <f t="shared" si="18"/>
        <v>0.1</v>
      </c>
      <c r="J99" s="121">
        <v>1518</v>
      </c>
      <c r="K99" s="121"/>
      <c r="L99" s="63">
        <f t="shared" si="19"/>
        <v>209.44809461235218</v>
      </c>
      <c r="M99" s="26">
        <f t="shared" si="20"/>
        <v>547</v>
      </c>
      <c r="N99" s="62">
        <f t="shared" si="21"/>
        <v>227.3176741130092</v>
      </c>
      <c r="O99" s="27">
        <f t="shared" si="22"/>
        <v>1518</v>
      </c>
      <c r="P99" s="27">
        <f t="shared" si="23"/>
        <v>0</v>
      </c>
      <c r="Q99" s="27">
        <f t="shared" si="24"/>
        <v>436.76576872536134</v>
      </c>
      <c r="R99" s="42">
        <f t="shared" si="25"/>
        <v>1081.2342312746387</v>
      </c>
      <c r="S99" s="27"/>
      <c r="T99" s="44"/>
      <c r="U99" s="43"/>
      <c r="V99" s="45"/>
    </row>
    <row r="100" spans="1:22" ht="12.75">
      <c r="A100" s="116" t="s">
        <v>86</v>
      </c>
      <c r="B100" s="118" t="s">
        <v>118</v>
      </c>
      <c r="C100" s="118"/>
      <c r="D100" s="117">
        <v>41506</v>
      </c>
      <c r="E100" s="119">
        <v>-5</v>
      </c>
      <c r="F100" s="116">
        <v>120</v>
      </c>
      <c r="G100" s="33">
        <f t="shared" si="16"/>
        <v>16.36005256241787</v>
      </c>
      <c r="H100" s="17">
        <f t="shared" si="17"/>
        <v>45158.8</v>
      </c>
      <c r="I100" s="41">
        <f t="shared" si="18"/>
        <v>0.1</v>
      </c>
      <c r="J100" s="121">
        <v>1195</v>
      </c>
      <c r="K100" s="121"/>
      <c r="L100" s="63">
        <f t="shared" si="19"/>
        <v>162.9188567674113</v>
      </c>
      <c r="M100" s="26">
        <f t="shared" si="20"/>
        <v>547</v>
      </c>
      <c r="N100" s="62">
        <f t="shared" si="21"/>
        <v>178.94902540516864</v>
      </c>
      <c r="O100" s="27">
        <f t="shared" si="22"/>
        <v>1195</v>
      </c>
      <c r="P100" s="27">
        <f t="shared" si="23"/>
        <v>0</v>
      </c>
      <c r="Q100" s="27">
        <f t="shared" si="24"/>
        <v>341.8678821725799</v>
      </c>
      <c r="R100" s="42">
        <f t="shared" si="25"/>
        <v>853.1321178274201</v>
      </c>
      <c r="S100" s="27"/>
      <c r="T100" s="44"/>
      <c r="U100" s="43"/>
      <c r="V100" s="45"/>
    </row>
    <row r="101" spans="1:22" ht="12.75">
      <c r="A101" s="116" t="s">
        <v>27</v>
      </c>
      <c r="B101" s="118" t="s">
        <v>119</v>
      </c>
      <c r="C101" s="118"/>
      <c r="D101" s="117">
        <v>41530</v>
      </c>
      <c r="E101" s="119">
        <v>-2</v>
      </c>
      <c r="F101" s="116">
        <v>120</v>
      </c>
      <c r="G101" s="33">
        <f t="shared" si="16"/>
        <v>15.571616294349539</v>
      </c>
      <c r="H101" s="17">
        <f t="shared" si="17"/>
        <v>45182.8</v>
      </c>
      <c r="I101" s="41">
        <f t="shared" si="18"/>
        <v>0.1</v>
      </c>
      <c r="J101" s="121">
        <v>7500</v>
      </c>
      <c r="K101" s="121"/>
      <c r="L101" s="63">
        <f t="shared" si="19"/>
        <v>973.2260183968461</v>
      </c>
      <c r="M101" s="26">
        <f t="shared" si="20"/>
        <v>547</v>
      </c>
      <c r="N101" s="62">
        <f t="shared" si="21"/>
        <v>1123.1110381077528</v>
      </c>
      <c r="O101" s="27">
        <f t="shared" si="22"/>
        <v>7500</v>
      </c>
      <c r="P101" s="27">
        <f t="shared" si="23"/>
        <v>0</v>
      </c>
      <c r="Q101" s="27">
        <f t="shared" si="24"/>
        <v>2096.337056504599</v>
      </c>
      <c r="R101" s="42">
        <f t="shared" si="25"/>
        <v>5403.662943495401</v>
      </c>
      <c r="S101" s="27"/>
      <c r="T101" s="43"/>
      <c r="U101" s="43"/>
      <c r="V101" s="45"/>
    </row>
    <row r="102" spans="1:22" ht="12.75">
      <c r="A102" s="116" t="s">
        <v>28</v>
      </c>
      <c r="B102" s="118" t="s">
        <v>120</v>
      </c>
      <c r="C102" s="118"/>
      <c r="D102" s="117">
        <v>41540</v>
      </c>
      <c r="E102" s="119">
        <v>-6</v>
      </c>
      <c r="F102" s="116">
        <v>120</v>
      </c>
      <c r="G102" s="33">
        <f t="shared" si="16"/>
        <v>15.243101182654401</v>
      </c>
      <c r="H102" s="17">
        <f t="shared" si="17"/>
        <v>45192.8</v>
      </c>
      <c r="I102" s="41">
        <f t="shared" si="18"/>
        <v>0.1</v>
      </c>
      <c r="J102" s="121">
        <v>53562.5</v>
      </c>
      <c r="K102" s="121"/>
      <c r="L102" s="63">
        <f t="shared" si="19"/>
        <v>6803.8217257993865</v>
      </c>
      <c r="M102" s="26">
        <f t="shared" si="20"/>
        <v>547</v>
      </c>
      <c r="N102" s="62">
        <f t="shared" si="21"/>
        <v>8020.884663819536</v>
      </c>
      <c r="O102" s="27">
        <f t="shared" si="22"/>
        <v>53562.5</v>
      </c>
      <c r="P102" s="27">
        <f t="shared" si="23"/>
        <v>0</v>
      </c>
      <c r="Q102" s="27">
        <f t="shared" si="24"/>
        <v>14824.706389618923</v>
      </c>
      <c r="R102" s="42">
        <f t="shared" si="25"/>
        <v>38737.79361038108</v>
      </c>
      <c r="S102" s="27"/>
      <c r="T102" s="43"/>
      <c r="U102" s="43"/>
      <c r="V102" s="45"/>
    </row>
    <row r="103" spans="1:22" ht="12.75">
      <c r="A103" s="116" t="s">
        <v>27</v>
      </c>
      <c r="B103" s="118" t="s">
        <v>121</v>
      </c>
      <c r="C103" s="118"/>
      <c r="D103" s="117">
        <v>41547</v>
      </c>
      <c r="E103" s="119">
        <v>-2</v>
      </c>
      <c r="F103" s="116">
        <v>120</v>
      </c>
      <c r="G103" s="33">
        <f aca="true" t="shared" si="26" ref="G103:G134">+IF((($J$5-D103)/30.44)&gt;F103,F103,IF((($J$5-D103)/30.44)&lt;1,0,(($J$5-D103)/30.44)))</f>
        <v>15.013140604467806</v>
      </c>
      <c r="H103" s="17">
        <f aca="true" t="shared" si="27" ref="H103:H134">+D103+F103*30.44</f>
        <v>45199.8</v>
      </c>
      <c r="I103" s="41">
        <f aca="true" t="shared" si="28" ref="I103:I152">_xlfn.IFERROR(((100/(F103/12))/100),0)</f>
        <v>0.1</v>
      </c>
      <c r="J103" s="121">
        <v>16118</v>
      </c>
      <c r="K103" s="121"/>
      <c r="L103" s="63">
        <f aca="true" t="shared" si="29" ref="L103:L152">_xlfn.IFERROR(((J103-K103)/F103*G103),0)</f>
        <v>2016.5150021901006</v>
      </c>
      <c r="M103" s="26">
        <f aca="true" t="shared" si="30" ref="M103:M134">IF((IF(AND(D103&gt;$J$5,$O$5&lt;H103),$O$5-D103,IF(H103&lt;$O$5,H103-$J$5,$O$5-$J$5)))&lt;=0,0,(IF(AND(D103&gt;$J$5,$O$5&lt;H103),$O$5-D103,IF(H103&lt;$O$5,H103-$J$5,$O$5-$J$5))))</f>
        <v>547</v>
      </c>
      <c r="N103" s="62">
        <f aca="true" t="shared" si="31" ref="N103:N152">_xlfn.IFERROR(((J103-K103)/F103*M103/30.44),0)</f>
        <v>2413.640494962768</v>
      </c>
      <c r="O103" s="27">
        <f t="shared" si="22"/>
        <v>16118</v>
      </c>
      <c r="P103" s="27">
        <f t="shared" si="23"/>
        <v>0</v>
      </c>
      <c r="Q103" s="27">
        <f t="shared" si="24"/>
        <v>4430.1554971528685</v>
      </c>
      <c r="R103" s="42">
        <f t="shared" si="25"/>
        <v>11687.844502847132</v>
      </c>
      <c r="S103" s="27"/>
      <c r="T103" s="44"/>
      <c r="U103" s="43"/>
      <c r="V103" s="45"/>
    </row>
    <row r="104" spans="1:22" ht="12.75">
      <c r="A104" s="116" t="s">
        <v>88</v>
      </c>
      <c r="B104" s="118" t="s">
        <v>122</v>
      </c>
      <c r="C104" s="118"/>
      <c r="D104" s="117">
        <v>41547</v>
      </c>
      <c r="E104" s="119">
        <v>-4</v>
      </c>
      <c r="F104" s="116">
        <v>36</v>
      </c>
      <c r="G104" s="33">
        <f t="shared" si="26"/>
        <v>15.013140604467806</v>
      </c>
      <c r="H104" s="17">
        <f t="shared" si="27"/>
        <v>42642.84</v>
      </c>
      <c r="I104" s="41">
        <f t="shared" si="28"/>
        <v>0.33333333333333337</v>
      </c>
      <c r="J104" s="121">
        <v>363.25</v>
      </c>
      <c r="K104" s="121"/>
      <c r="L104" s="63">
        <f t="shared" si="29"/>
        <v>151.48675901591474</v>
      </c>
      <c r="M104" s="26">
        <f t="shared" si="30"/>
        <v>547</v>
      </c>
      <c r="N104" s="62">
        <f t="shared" si="31"/>
        <v>181.32003759672946</v>
      </c>
      <c r="O104" s="27">
        <f t="shared" si="22"/>
        <v>363.25</v>
      </c>
      <c r="P104" s="27">
        <f t="shared" si="23"/>
        <v>0</v>
      </c>
      <c r="Q104" s="27">
        <f t="shared" si="24"/>
        <v>332.80679661264423</v>
      </c>
      <c r="R104" s="42">
        <f t="shared" si="25"/>
        <v>30.443203387355766</v>
      </c>
      <c r="S104" s="27"/>
      <c r="T104" s="44"/>
      <c r="U104" s="43"/>
      <c r="V104" s="45"/>
    </row>
    <row r="105" spans="1:22" ht="12.75">
      <c r="A105" s="116" t="s">
        <v>27</v>
      </c>
      <c r="B105" s="118" t="s">
        <v>123</v>
      </c>
      <c r="C105" s="118"/>
      <c r="D105" s="117">
        <v>41547</v>
      </c>
      <c r="E105" s="119">
        <v>-2</v>
      </c>
      <c r="F105" s="116">
        <v>120</v>
      </c>
      <c r="G105" s="33">
        <f t="shared" si="26"/>
        <v>15.013140604467806</v>
      </c>
      <c r="H105" s="17">
        <f t="shared" si="27"/>
        <v>45199.8</v>
      </c>
      <c r="I105" s="41">
        <f t="shared" si="28"/>
        <v>0.1</v>
      </c>
      <c r="J105" s="121">
        <v>3341</v>
      </c>
      <c r="K105" s="121"/>
      <c r="L105" s="63">
        <f t="shared" si="29"/>
        <v>417.99085632939114</v>
      </c>
      <c r="M105" s="26">
        <f t="shared" si="30"/>
        <v>547</v>
      </c>
      <c r="N105" s="62">
        <f t="shared" si="31"/>
        <v>500.3085304424003</v>
      </c>
      <c r="O105" s="27">
        <f t="shared" si="22"/>
        <v>3341</v>
      </c>
      <c r="P105" s="27">
        <f t="shared" si="23"/>
        <v>0</v>
      </c>
      <c r="Q105" s="27">
        <f t="shared" si="24"/>
        <v>918.2993867717914</v>
      </c>
      <c r="R105" s="42">
        <f t="shared" si="25"/>
        <v>2422.7006132282086</v>
      </c>
      <c r="S105" s="27"/>
      <c r="T105" s="44"/>
      <c r="U105" s="43"/>
      <c r="V105" s="45"/>
    </row>
    <row r="106" spans="1:22" ht="12.75">
      <c r="A106" s="116" t="s">
        <v>88</v>
      </c>
      <c r="B106" s="118" t="s">
        <v>124</v>
      </c>
      <c r="C106" s="118"/>
      <c r="D106" s="117">
        <v>41547</v>
      </c>
      <c r="E106" s="119">
        <v>-4</v>
      </c>
      <c r="F106" s="116">
        <v>36</v>
      </c>
      <c r="G106" s="33">
        <f t="shared" si="26"/>
        <v>15.013140604467806</v>
      </c>
      <c r="H106" s="17">
        <f t="shared" si="27"/>
        <v>42642.84</v>
      </c>
      <c r="I106" s="41">
        <f t="shared" si="28"/>
        <v>0.33333333333333337</v>
      </c>
      <c r="J106" s="121">
        <v>940</v>
      </c>
      <c r="K106" s="121"/>
      <c r="L106" s="63">
        <f t="shared" si="29"/>
        <v>392.0097824499927</v>
      </c>
      <c r="M106" s="26">
        <f t="shared" si="30"/>
        <v>547</v>
      </c>
      <c r="N106" s="62">
        <f t="shared" si="31"/>
        <v>469.2108336983501</v>
      </c>
      <c r="O106" s="27">
        <f t="shared" si="22"/>
        <v>940</v>
      </c>
      <c r="P106" s="27">
        <f t="shared" si="23"/>
        <v>0</v>
      </c>
      <c r="Q106" s="27">
        <f t="shared" si="24"/>
        <v>861.2206161483427</v>
      </c>
      <c r="R106" s="42">
        <f t="shared" si="25"/>
        <v>78.77938385165726</v>
      </c>
      <c r="S106" s="27"/>
      <c r="T106" s="44"/>
      <c r="U106" s="43"/>
      <c r="V106" s="45"/>
    </row>
    <row r="107" spans="1:22" ht="12.75">
      <c r="A107" s="116" t="s">
        <v>27</v>
      </c>
      <c r="B107" s="118" t="s">
        <v>125</v>
      </c>
      <c r="C107" s="118"/>
      <c r="D107" s="117">
        <v>41547</v>
      </c>
      <c r="E107" s="119">
        <v>-2</v>
      </c>
      <c r="F107" s="116">
        <v>120</v>
      </c>
      <c r="G107" s="33">
        <f t="shared" si="26"/>
        <v>15.013140604467806</v>
      </c>
      <c r="H107" s="17">
        <f t="shared" si="27"/>
        <v>45199.8</v>
      </c>
      <c r="I107" s="41">
        <f t="shared" si="28"/>
        <v>0.1</v>
      </c>
      <c r="J107" s="121">
        <v>4784</v>
      </c>
      <c r="K107" s="121"/>
      <c r="L107" s="63">
        <f t="shared" si="29"/>
        <v>598.5238720981165</v>
      </c>
      <c r="M107" s="26">
        <f t="shared" si="30"/>
        <v>547</v>
      </c>
      <c r="N107" s="62">
        <f t="shared" si="31"/>
        <v>716.3950941743319</v>
      </c>
      <c r="O107" s="27">
        <f t="shared" si="22"/>
        <v>4784</v>
      </c>
      <c r="P107" s="27">
        <f t="shared" si="23"/>
        <v>0</v>
      </c>
      <c r="Q107" s="27">
        <f t="shared" si="24"/>
        <v>1314.9189662724484</v>
      </c>
      <c r="R107" s="42">
        <f t="shared" si="25"/>
        <v>3469.0810337275516</v>
      </c>
      <c r="S107" s="27"/>
      <c r="T107" s="43"/>
      <c r="U107" s="43"/>
      <c r="V107" s="45"/>
    </row>
    <row r="108" spans="1:22" ht="12.75">
      <c r="A108" s="116" t="s">
        <v>27</v>
      </c>
      <c r="B108" s="118" t="s">
        <v>126</v>
      </c>
      <c r="C108" s="118"/>
      <c r="D108" s="117">
        <v>41547</v>
      </c>
      <c r="E108" s="119">
        <v>-2</v>
      </c>
      <c r="F108" s="116">
        <v>120</v>
      </c>
      <c r="G108" s="33">
        <f t="shared" si="26"/>
        <v>15.013140604467806</v>
      </c>
      <c r="H108" s="17">
        <f t="shared" si="27"/>
        <v>45199.8</v>
      </c>
      <c r="I108" s="41">
        <f t="shared" si="28"/>
        <v>0.1</v>
      </c>
      <c r="J108" s="121">
        <v>8652</v>
      </c>
      <c r="K108" s="121"/>
      <c r="L108" s="63">
        <f t="shared" si="29"/>
        <v>1082.4474375821287</v>
      </c>
      <c r="M108" s="26">
        <f t="shared" si="30"/>
        <v>547</v>
      </c>
      <c r="N108" s="62">
        <f t="shared" si="31"/>
        <v>1295.6208935611037</v>
      </c>
      <c r="O108" s="27">
        <f t="shared" si="22"/>
        <v>8652</v>
      </c>
      <c r="P108" s="27">
        <f t="shared" si="23"/>
        <v>0</v>
      </c>
      <c r="Q108" s="27">
        <f t="shared" si="24"/>
        <v>2378.068331143232</v>
      </c>
      <c r="R108" s="42">
        <f t="shared" si="25"/>
        <v>6273.931668856768</v>
      </c>
      <c r="S108" s="27"/>
      <c r="T108" s="43"/>
      <c r="U108" s="43"/>
      <c r="V108" s="45"/>
    </row>
    <row r="109" spans="1:22" ht="12.75">
      <c r="A109" s="116" t="s">
        <v>27</v>
      </c>
      <c r="B109" s="118" t="s">
        <v>127</v>
      </c>
      <c r="C109" s="118"/>
      <c r="D109" s="117">
        <v>41547</v>
      </c>
      <c r="E109" s="119">
        <v>-2</v>
      </c>
      <c r="F109" s="116">
        <v>120</v>
      </c>
      <c r="G109" s="33">
        <f t="shared" si="26"/>
        <v>15.013140604467806</v>
      </c>
      <c r="H109" s="17">
        <f t="shared" si="27"/>
        <v>45199.8</v>
      </c>
      <c r="I109" s="41">
        <f t="shared" si="28"/>
        <v>0.1</v>
      </c>
      <c r="J109" s="121">
        <v>4380</v>
      </c>
      <c r="K109" s="121"/>
      <c r="L109" s="63">
        <f t="shared" si="29"/>
        <v>547.9796320630749</v>
      </c>
      <c r="M109" s="26">
        <f t="shared" si="30"/>
        <v>547</v>
      </c>
      <c r="N109" s="62">
        <f t="shared" si="31"/>
        <v>655.8968462549277</v>
      </c>
      <c r="O109" s="27">
        <f t="shared" si="22"/>
        <v>4380</v>
      </c>
      <c r="P109" s="27">
        <f t="shared" si="23"/>
        <v>0</v>
      </c>
      <c r="Q109" s="27">
        <f t="shared" si="24"/>
        <v>1203.8764783180027</v>
      </c>
      <c r="R109" s="42">
        <f t="shared" si="25"/>
        <v>3176.1235216819973</v>
      </c>
      <c r="S109" s="27"/>
      <c r="T109" s="43"/>
      <c r="U109" s="43"/>
      <c r="V109" s="45"/>
    </row>
    <row r="110" spans="1:22" ht="12.75">
      <c r="A110" s="116" t="s">
        <v>86</v>
      </c>
      <c r="B110" s="118" t="s">
        <v>128</v>
      </c>
      <c r="C110" s="118"/>
      <c r="D110" s="117">
        <v>41547</v>
      </c>
      <c r="E110" s="119">
        <v>-5</v>
      </c>
      <c r="F110" s="116">
        <v>120</v>
      </c>
      <c r="G110" s="33">
        <f t="shared" si="26"/>
        <v>15.013140604467806</v>
      </c>
      <c r="H110" s="17">
        <f t="shared" si="27"/>
        <v>45199.8</v>
      </c>
      <c r="I110" s="41">
        <f t="shared" si="28"/>
        <v>0.1</v>
      </c>
      <c r="J110" s="121">
        <v>986</v>
      </c>
      <c r="K110" s="121"/>
      <c r="L110" s="63">
        <f t="shared" si="29"/>
        <v>123.35797196671047</v>
      </c>
      <c r="M110" s="26">
        <f t="shared" si="30"/>
        <v>547</v>
      </c>
      <c r="N110" s="62">
        <f t="shared" si="31"/>
        <v>147.6516644765659</v>
      </c>
      <c r="O110" s="27">
        <f t="shared" si="22"/>
        <v>986</v>
      </c>
      <c r="P110" s="27">
        <f t="shared" si="23"/>
        <v>0</v>
      </c>
      <c r="Q110" s="27">
        <f t="shared" si="24"/>
        <v>271.00963644327635</v>
      </c>
      <c r="R110" s="42">
        <f t="shared" si="25"/>
        <v>714.9903635567237</v>
      </c>
      <c r="S110" s="27"/>
      <c r="T110" s="44"/>
      <c r="U110" s="43"/>
      <c r="V110" s="45"/>
    </row>
    <row r="111" spans="1:22" ht="12.75">
      <c r="A111" s="116" t="s">
        <v>88</v>
      </c>
      <c r="B111" s="118" t="s">
        <v>129</v>
      </c>
      <c r="C111" s="118"/>
      <c r="D111" s="117">
        <v>41548</v>
      </c>
      <c r="E111" s="119">
        <v>-4</v>
      </c>
      <c r="F111" s="116">
        <v>36</v>
      </c>
      <c r="G111" s="33">
        <f t="shared" si="26"/>
        <v>14.98028909329829</v>
      </c>
      <c r="H111" s="17">
        <f t="shared" si="27"/>
        <v>42643.84</v>
      </c>
      <c r="I111" s="41">
        <f t="shared" si="28"/>
        <v>0.33333333333333337</v>
      </c>
      <c r="J111" s="121">
        <v>1693.75</v>
      </c>
      <c r="K111" s="121"/>
      <c r="L111" s="63">
        <f t="shared" si="29"/>
        <v>704.8017958826106</v>
      </c>
      <c r="M111" s="26">
        <f t="shared" si="30"/>
        <v>547</v>
      </c>
      <c r="N111" s="62">
        <f t="shared" si="31"/>
        <v>845.4530314644475</v>
      </c>
      <c r="O111" s="27">
        <f t="shared" si="22"/>
        <v>1693.75</v>
      </c>
      <c r="P111" s="27">
        <f t="shared" si="23"/>
        <v>0</v>
      </c>
      <c r="Q111" s="27">
        <f t="shared" si="24"/>
        <v>1550.254827347058</v>
      </c>
      <c r="R111" s="42">
        <f t="shared" si="25"/>
        <v>143.49517265294207</v>
      </c>
      <c r="S111" s="27"/>
      <c r="T111" s="44"/>
      <c r="U111" s="43"/>
      <c r="V111" s="45"/>
    </row>
    <row r="112" spans="1:22" ht="12.75">
      <c r="A112" s="116" t="s">
        <v>28</v>
      </c>
      <c r="B112" s="118" t="s">
        <v>130</v>
      </c>
      <c r="C112" s="118"/>
      <c r="D112" s="117">
        <v>41563</v>
      </c>
      <c r="E112" s="119">
        <v>-6</v>
      </c>
      <c r="F112" s="116">
        <v>120</v>
      </c>
      <c r="G112" s="33">
        <f t="shared" si="26"/>
        <v>14.487516425755585</v>
      </c>
      <c r="H112" s="17">
        <f t="shared" si="27"/>
        <v>45215.8</v>
      </c>
      <c r="I112" s="41">
        <f t="shared" si="28"/>
        <v>0.1</v>
      </c>
      <c r="J112" s="121">
        <v>16525.3</v>
      </c>
      <c r="K112" s="121"/>
      <c r="L112" s="63">
        <f t="shared" si="29"/>
        <v>1995.0879599211564</v>
      </c>
      <c r="M112" s="26">
        <f t="shared" si="30"/>
        <v>547</v>
      </c>
      <c r="N112" s="62">
        <f t="shared" si="31"/>
        <v>2474.63291173894</v>
      </c>
      <c r="O112" s="27">
        <f t="shared" si="22"/>
        <v>16525.3</v>
      </c>
      <c r="P112" s="27">
        <f t="shared" si="23"/>
        <v>0</v>
      </c>
      <c r="Q112" s="27">
        <f t="shared" si="24"/>
        <v>4469.720871660096</v>
      </c>
      <c r="R112" s="42">
        <f t="shared" si="25"/>
        <v>12055.579128339903</v>
      </c>
      <c r="S112" s="27"/>
      <c r="T112" s="43"/>
      <c r="U112" s="43"/>
      <c r="V112" s="45"/>
    </row>
    <row r="113" spans="1:22" ht="12.75">
      <c r="A113" s="116" t="s">
        <v>88</v>
      </c>
      <c r="B113" s="118" t="s">
        <v>131</v>
      </c>
      <c r="C113" s="118"/>
      <c r="D113" s="117">
        <v>41570</v>
      </c>
      <c r="E113" s="119">
        <v>-4</v>
      </c>
      <c r="F113" s="116">
        <v>36</v>
      </c>
      <c r="G113" s="33">
        <f t="shared" si="26"/>
        <v>14.257555847568987</v>
      </c>
      <c r="H113" s="17">
        <f t="shared" si="27"/>
        <v>42665.84</v>
      </c>
      <c r="I113" s="41">
        <f t="shared" si="28"/>
        <v>0.33333333333333337</v>
      </c>
      <c r="J113" s="121">
        <v>887.88</v>
      </c>
      <c r="K113" s="121"/>
      <c r="L113" s="63">
        <f t="shared" si="29"/>
        <v>351.6388523872098</v>
      </c>
      <c r="M113" s="26">
        <f t="shared" si="30"/>
        <v>547</v>
      </c>
      <c r="N113" s="62">
        <f t="shared" si="31"/>
        <v>443.19459045116076</v>
      </c>
      <c r="O113" s="27">
        <f t="shared" si="22"/>
        <v>887.88</v>
      </c>
      <c r="P113" s="27">
        <f t="shared" si="23"/>
        <v>0</v>
      </c>
      <c r="Q113" s="27">
        <f t="shared" si="24"/>
        <v>794.8334428383705</v>
      </c>
      <c r="R113" s="42">
        <f t="shared" si="25"/>
        <v>93.0465571616295</v>
      </c>
      <c r="S113" s="27"/>
      <c r="T113" s="44"/>
      <c r="U113" s="43"/>
      <c r="V113" s="45"/>
    </row>
    <row r="114" spans="1:22" ht="12.75">
      <c r="A114" s="116" t="s">
        <v>88</v>
      </c>
      <c r="B114" s="118" t="s">
        <v>132</v>
      </c>
      <c r="C114" s="118"/>
      <c r="D114" s="117">
        <v>41570</v>
      </c>
      <c r="E114" s="119">
        <v>-4</v>
      </c>
      <c r="F114" s="116">
        <v>36</v>
      </c>
      <c r="G114" s="33">
        <f t="shared" si="26"/>
        <v>14.257555847568987</v>
      </c>
      <c r="H114" s="17">
        <f t="shared" si="27"/>
        <v>42665.84</v>
      </c>
      <c r="I114" s="41">
        <f t="shared" si="28"/>
        <v>0.33333333333333337</v>
      </c>
      <c r="J114" s="121">
        <v>1293</v>
      </c>
      <c r="K114" s="121"/>
      <c r="L114" s="63">
        <f t="shared" si="29"/>
        <v>512.0838808585195</v>
      </c>
      <c r="M114" s="26">
        <f t="shared" si="30"/>
        <v>547</v>
      </c>
      <c r="N114" s="62">
        <f t="shared" si="31"/>
        <v>645.414476565922</v>
      </c>
      <c r="O114" s="27">
        <f t="shared" si="22"/>
        <v>1293</v>
      </c>
      <c r="P114" s="27">
        <f t="shared" si="23"/>
        <v>0</v>
      </c>
      <c r="Q114" s="27">
        <f t="shared" si="24"/>
        <v>1157.4983574244416</v>
      </c>
      <c r="R114" s="42">
        <f t="shared" si="25"/>
        <v>135.50164257555844</v>
      </c>
      <c r="S114" s="27"/>
      <c r="T114" s="44"/>
      <c r="U114" s="43"/>
      <c r="V114" s="45"/>
    </row>
    <row r="115" spans="1:22" ht="12.75">
      <c r="A115" s="116" t="s">
        <v>28</v>
      </c>
      <c r="B115" s="118" t="s">
        <v>133</v>
      </c>
      <c r="C115" s="118"/>
      <c r="D115" s="117">
        <v>41577</v>
      </c>
      <c r="E115" s="119">
        <v>-6</v>
      </c>
      <c r="F115" s="116">
        <v>120</v>
      </c>
      <c r="G115" s="33">
        <f t="shared" si="26"/>
        <v>14.027595269382392</v>
      </c>
      <c r="H115" s="17">
        <f t="shared" si="27"/>
        <v>45229.8</v>
      </c>
      <c r="I115" s="41">
        <f t="shared" si="28"/>
        <v>0.1</v>
      </c>
      <c r="J115" s="121">
        <v>3303.57</v>
      </c>
      <c r="K115" s="121"/>
      <c r="L115" s="63">
        <f t="shared" si="29"/>
        <v>386.1761908672799</v>
      </c>
      <c r="M115" s="26">
        <f t="shared" si="30"/>
        <v>547</v>
      </c>
      <c r="N115" s="62">
        <f t="shared" si="31"/>
        <v>494.70345762155057</v>
      </c>
      <c r="O115" s="27">
        <f t="shared" si="22"/>
        <v>3303.57</v>
      </c>
      <c r="P115" s="27">
        <f t="shared" si="23"/>
        <v>0</v>
      </c>
      <c r="Q115" s="27">
        <f t="shared" si="24"/>
        <v>880.8796484888305</v>
      </c>
      <c r="R115" s="42">
        <f t="shared" si="25"/>
        <v>2422.69035151117</v>
      </c>
      <c r="S115" s="27"/>
      <c r="T115" s="43"/>
      <c r="U115" s="43"/>
      <c r="V115" s="45"/>
    </row>
    <row r="116" spans="1:22" ht="12.75">
      <c r="A116" s="116" t="s">
        <v>28</v>
      </c>
      <c r="B116" s="118" t="s">
        <v>134</v>
      </c>
      <c r="C116" s="118"/>
      <c r="D116" s="117">
        <v>41578</v>
      </c>
      <c r="E116" s="119">
        <v>-6</v>
      </c>
      <c r="F116" s="116">
        <v>120</v>
      </c>
      <c r="G116" s="33">
        <f t="shared" si="26"/>
        <v>13.994743758212877</v>
      </c>
      <c r="H116" s="17">
        <f t="shared" si="27"/>
        <v>45230.8</v>
      </c>
      <c r="I116" s="41">
        <f t="shared" si="28"/>
        <v>0.1</v>
      </c>
      <c r="J116" s="121">
        <v>89725</v>
      </c>
      <c r="K116" s="121">
        <v>45000</v>
      </c>
      <c r="L116" s="63">
        <f t="shared" si="29"/>
        <v>5215.95762155059</v>
      </c>
      <c r="M116" s="26">
        <f t="shared" si="30"/>
        <v>547</v>
      </c>
      <c r="N116" s="62">
        <f t="shared" si="31"/>
        <v>6697.485490582566</v>
      </c>
      <c r="O116" s="27">
        <f t="shared" si="22"/>
        <v>89725</v>
      </c>
      <c r="P116" s="27">
        <f t="shared" si="23"/>
        <v>45000</v>
      </c>
      <c r="Q116" s="27">
        <f t="shared" si="24"/>
        <v>11913.443112133156</v>
      </c>
      <c r="R116" s="42">
        <f t="shared" si="25"/>
        <v>32811.55688786684</v>
      </c>
      <c r="S116" s="27"/>
      <c r="T116" s="43"/>
      <c r="U116" s="43"/>
      <c r="V116" s="45"/>
    </row>
    <row r="117" spans="1:22" ht="12.75">
      <c r="A117" s="116" t="s">
        <v>35</v>
      </c>
      <c r="B117" s="118" t="s">
        <v>135</v>
      </c>
      <c r="C117" s="118"/>
      <c r="D117" s="117">
        <v>41591</v>
      </c>
      <c r="E117" s="119">
        <v>-3</v>
      </c>
      <c r="F117" s="116">
        <v>120</v>
      </c>
      <c r="G117" s="33">
        <f t="shared" si="26"/>
        <v>13.567674113009199</v>
      </c>
      <c r="H117" s="17">
        <f t="shared" si="27"/>
        <v>45243.8</v>
      </c>
      <c r="I117" s="41">
        <f t="shared" si="28"/>
        <v>0.1</v>
      </c>
      <c r="J117" s="121">
        <v>20067.86</v>
      </c>
      <c r="K117" s="121"/>
      <c r="L117" s="63">
        <f t="shared" si="29"/>
        <v>2268.951538545773</v>
      </c>
      <c r="M117" s="26">
        <f t="shared" si="30"/>
        <v>547</v>
      </c>
      <c r="N117" s="62">
        <f t="shared" si="31"/>
        <v>3005.1246769601403</v>
      </c>
      <c r="O117" s="27">
        <f t="shared" si="22"/>
        <v>20067.86</v>
      </c>
      <c r="P117" s="27">
        <f t="shared" si="23"/>
        <v>0</v>
      </c>
      <c r="Q117" s="27">
        <f t="shared" si="24"/>
        <v>5274.076215505913</v>
      </c>
      <c r="R117" s="42">
        <f t="shared" si="25"/>
        <v>14793.783784494088</v>
      </c>
      <c r="S117" s="27"/>
      <c r="T117" s="43"/>
      <c r="U117" s="43"/>
      <c r="V117" s="45"/>
    </row>
    <row r="118" spans="1:22" ht="12.75">
      <c r="A118" s="116" t="s">
        <v>86</v>
      </c>
      <c r="B118" s="118" t="s">
        <v>136</v>
      </c>
      <c r="C118" s="118"/>
      <c r="D118" s="117">
        <v>41597</v>
      </c>
      <c r="E118" s="119">
        <v>-5</v>
      </c>
      <c r="F118" s="116">
        <v>120</v>
      </c>
      <c r="G118" s="33">
        <f t="shared" si="26"/>
        <v>13.370565045992116</v>
      </c>
      <c r="H118" s="17">
        <f t="shared" si="27"/>
        <v>45249.8</v>
      </c>
      <c r="I118" s="41">
        <f t="shared" si="28"/>
        <v>0.1</v>
      </c>
      <c r="J118" s="121">
        <v>2408.55</v>
      </c>
      <c r="K118" s="121"/>
      <c r="L118" s="63">
        <f t="shared" si="29"/>
        <v>268.3639536793693</v>
      </c>
      <c r="M118" s="26">
        <f t="shared" si="30"/>
        <v>547</v>
      </c>
      <c r="N118" s="62">
        <f t="shared" si="31"/>
        <v>360.6758787779238</v>
      </c>
      <c r="O118" s="27">
        <f t="shared" si="22"/>
        <v>2408.55</v>
      </c>
      <c r="P118" s="27">
        <f t="shared" si="23"/>
        <v>0</v>
      </c>
      <c r="Q118" s="27">
        <f t="shared" si="24"/>
        <v>629.0398324572931</v>
      </c>
      <c r="R118" s="42">
        <f t="shared" si="25"/>
        <v>1779.5101675427072</v>
      </c>
      <c r="S118" s="27"/>
      <c r="T118" s="44"/>
      <c r="U118" s="43"/>
      <c r="V118" s="45"/>
    </row>
    <row r="119" spans="1:22" ht="12.75">
      <c r="A119" s="116" t="s">
        <v>28</v>
      </c>
      <c r="B119" s="118" t="s">
        <v>137</v>
      </c>
      <c r="C119" s="118"/>
      <c r="D119" s="117">
        <v>41604</v>
      </c>
      <c r="E119" s="119">
        <v>-6</v>
      </c>
      <c r="F119" s="116">
        <v>120</v>
      </c>
      <c r="G119" s="33">
        <f t="shared" si="26"/>
        <v>13.140604467805518</v>
      </c>
      <c r="H119" s="17">
        <f t="shared" si="27"/>
        <v>45256.8</v>
      </c>
      <c r="I119" s="41">
        <f t="shared" si="28"/>
        <v>0.1</v>
      </c>
      <c r="J119" s="121">
        <v>3000</v>
      </c>
      <c r="K119" s="121"/>
      <c r="L119" s="63">
        <f t="shared" si="29"/>
        <v>328.515111695138</v>
      </c>
      <c r="M119" s="26">
        <f t="shared" si="30"/>
        <v>547</v>
      </c>
      <c r="N119" s="62">
        <f t="shared" si="31"/>
        <v>449.2444152431012</v>
      </c>
      <c r="O119" s="27">
        <f t="shared" si="22"/>
        <v>3000</v>
      </c>
      <c r="P119" s="27">
        <f t="shared" si="23"/>
        <v>0</v>
      </c>
      <c r="Q119" s="27">
        <f t="shared" si="24"/>
        <v>777.7595269382391</v>
      </c>
      <c r="R119" s="42">
        <f t="shared" si="25"/>
        <v>2222.240473061761</v>
      </c>
      <c r="S119" s="27"/>
      <c r="T119" s="43"/>
      <c r="U119" s="43"/>
      <c r="V119" s="45"/>
    </row>
    <row r="120" spans="1:22" ht="12.75">
      <c r="A120" s="116" t="s">
        <v>88</v>
      </c>
      <c r="B120" s="118" t="s">
        <v>138</v>
      </c>
      <c r="C120" s="118"/>
      <c r="D120" s="117">
        <v>41617</v>
      </c>
      <c r="E120" s="119">
        <v>-4</v>
      </c>
      <c r="F120" s="116">
        <v>36</v>
      </c>
      <c r="G120" s="33">
        <f t="shared" si="26"/>
        <v>12.713534822601838</v>
      </c>
      <c r="H120" s="17">
        <f t="shared" si="27"/>
        <v>42712.84</v>
      </c>
      <c r="I120" s="41">
        <f t="shared" si="28"/>
        <v>0.33333333333333337</v>
      </c>
      <c r="J120" s="121">
        <v>562</v>
      </c>
      <c r="K120" s="121"/>
      <c r="L120" s="63">
        <f t="shared" si="29"/>
        <v>198.47240473061757</v>
      </c>
      <c r="M120" s="26">
        <f t="shared" si="30"/>
        <v>547</v>
      </c>
      <c r="N120" s="62">
        <f t="shared" si="31"/>
        <v>280.52817929624763</v>
      </c>
      <c r="O120" s="27">
        <f t="shared" si="22"/>
        <v>562</v>
      </c>
      <c r="P120" s="27">
        <f t="shared" si="23"/>
        <v>0</v>
      </c>
      <c r="Q120" s="27">
        <f t="shared" si="24"/>
        <v>479.0005840268652</v>
      </c>
      <c r="R120" s="42">
        <f t="shared" si="25"/>
        <v>82.99941597313477</v>
      </c>
      <c r="S120" s="27"/>
      <c r="T120" s="44"/>
      <c r="U120" s="43"/>
      <c r="V120" s="45"/>
    </row>
    <row r="121" spans="1:22" ht="12.75">
      <c r="A121" s="116" t="s">
        <v>27</v>
      </c>
      <c r="B121" s="118" t="s">
        <v>139</v>
      </c>
      <c r="C121" s="118"/>
      <c r="D121" s="117">
        <v>41617</v>
      </c>
      <c r="E121" s="119">
        <v>-2</v>
      </c>
      <c r="F121" s="116">
        <v>120</v>
      </c>
      <c r="G121" s="33">
        <f t="shared" si="26"/>
        <v>12.713534822601838</v>
      </c>
      <c r="H121" s="17">
        <f t="shared" si="27"/>
        <v>45269.8</v>
      </c>
      <c r="I121" s="41">
        <f t="shared" si="28"/>
        <v>0.1</v>
      </c>
      <c r="J121" s="121">
        <v>1602.89</v>
      </c>
      <c r="K121" s="121"/>
      <c r="L121" s="63">
        <f t="shared" si="29"/>
        <v>169.81998193166885</v>
      </c>
      <c r="M121" s="26">
        <f t="shared" si="30"/>
        <v>547</v>
      </c>
      <c r="N121" s="62">
        <f t="shared" si="31"/>
        <v>240.02979358300482</v>
      </c>
      <c r="O121" s="27">
        <f t="shared" si="22"/>
        <v>1602.89</v>
      </c>
      <c r="P121" s="27">
        <f t="shared" si="23"/>
        <v>0</v>
      </c>
      <c r="Q121" s="27">
        <f t="shared" si="24"/>
        <v>409.84977551467364</v>
      </c>
      <c r="R121" s="42">
        <f t="shared" si="25"/>
        <v>1193.0402244853265</v>
      </c>
      <c r="S121" s="27"/>
      <c r="T121" s="43"/>
      <c r="U121" s="43"/>
      <c r="V121" s="45"/>
    </row>
    <row r="122" spans="1:22" ht="12.75">
      <c r="A122" s="116" t="s">
        <v>88</v>
      </c>
      <c r="B122" s="118" t="s">
        <v>140</v>
      </c>
      <c r="C122" s="118"/>
      <c r="D122" s="117">
        <v>41655</v>
      </c>
      <c r="E122" s="119">
        <v>-4</v>
      </c>
      <c r="F122" s="116">
        <v>36</v>
      </c>
      <c r="G122" s="33">
        <f t="shared" si="26"/>
        <v>11.465177398160314</v>
      </c>
      <c r="H122" s="17">
        <f t="shared" si="27"/>
        <v>42750.84</v>
      </c>
      <c r="I122" s="41">
        <f t="shared" si="28"/>
        <v>0.33333333333333337</v>
      </c>
      <c r="J122" s="121">
        <v>785</v>
      </c>
      <c r="K122" s="121"/>
      <c r="L122" s="63">
        <f t="shared" si="29"/>
        <v>250.00456270988465</v>
      </c>
      <c r="M122" s="26">
        <f t="shared" si="30"/>
        <v>547</v>
      </c>
      <c r="N122" s="62">
        <f t="shared" si="31"/>
        <v>391.8409621842605</v>
      </c>
      <c r="O122" s="27">
        <f t="shared" si="22"/>
        <v>785</v>
      </c>
      <c r="P122" s="27">
        <f t="shared" si="23"/>
        <v>0</v>
      </c>
      <c r="Q122" s="27">
        <f t="shared" si="24"/>
        <v>641.8455248941451</v>
      </c>
      <c r="R122" s="42">
        <f t="shared" si="25"/>
        <v>143.15447510585489</v>
      </c>
      <c r="S122" s="27"/>
      <c r="T122" s="44"/>
      <c r="U122" s="43"/>
      <c r="V122" s="45"/>
    </row>
    <row r="123" spans="1:22" ht="12.75">
      <c r="A123" s="116" t="s">
        <v>86</v>
      </c>
      <c r="B123" s="118" t="s">
        <v>141</v>
      </c>
      <c r="C123" s="118"/>
      <c r="D123" s="117">
        <v>41667</v>
      </c>
      <c r="E123" s="119">
        <v>-5</v>
      </c>
      <c r="F123" s="116">
        <v>120</v>
      </c>
      <c r="G123" s="33">
        <f t="shared" si="26"/>
        <v>11.070959264126149</v>
      </c>
      <c r="H123" s="17">
        <f t="shared" si="27"/>
        <v>45319.8</v>
      </c>
      <c r="I123" s="41">
        <f t="shared" si="28"/>
        <v>0.1</v>
      </c>
      <c r="J123" s="121">
        <v>895</v>
      </c>
      <c r="K123" s="121"/>
      <c r="L123" s="63">
        <f t="shared" si="29"/>
        <v>82.57090451160752</v>
      </c>
      <c r="M123" s="26">
        <f t="shared" si="30"/>
        <v>547</v>
      </c>
      <c r="N123" s="62">
        <f t="shared" si="31"/>
        <v>134.0245838808585</v>
      </c>
      <c r="O123" s="27">
        <f t="shared" si="22"/>
        <v>895</v>
      </c>
      <c r="P123" s="27">
        <f t="shared" si="23"/>
        <v>0</v>
      </c>
      <c r="Q123" s="27">
        <f t="shared" si="24"/>
        <v>216.59548839246602</v>
      </c>
      <c r="R123" s="42">
        <f t="shared" si="25"/>
        <v>678.404511607534</v>
      </c>
      <c r="S123" s="27"/>
      <c r="T123" s="44"/>
      <c r="U123" s="43"/>
      <c r="V123" s="45"/>
    </row>
    <row r="124" spans="1:22" ht="12.75">
      <c r="A124" s="116"/>
      <c r="B124" s="118"/>
      <c r="C124" s="118"/>
      <c r="D124" s="117"/>
      <c r="E124" s="119"/>
      <c r="F124" s="116"/>
      <c r="G124" s="33">
        <f t="shared" si="26"/>
        <v>0</v>
      </c>
      <c r="H124" s="17">
        <f t="shared" si="27"/>
        <v>0</v>
      </c>
      <c r="I124" s="41">
        <f t="shared" si="28"/>
        <v>0</v>
      </c>
      <c r="J124" s="121"/>
      <c r="K124" s="121"/>
      <c r="L124" s="63">
        <f t="shared" si="29"/>
        <v>0</v>
      </c>
      <c r="M124" s="26">
        <f t="shared" si="30"/>
        <v>0</v>
      </c>
      <c r="N124" s="62">
        <f t="shared" si="31"/>
        <v>0</v>
      </c>
      <c r="O124" s="27">
        <f aca="true" t="shared" si="32" ref="O124:O151">+J124</f>
        <v>0</v>
      </c>
      <c r="P124" s="27">
        <f t="shared" si="23"/>
        <v>0</v>
      </c>
      <c r="Q124" s="27">
        <f aca="true" t="shared" si="33" ref="Q124:Q151">+L124+N124</f>
        <v>0</v>
      </c>
      <c r="R124" s="42">
        <f aca="true" t="shared" si="34" ref="R124:R151">+O124-P124-Q124</f>
        <v>0</v>
      </c>
      <c r="S124" s="25"/>
      <c r="T124" s="43"/>
      <c r="U124" s="43"/>
      <c r="V124" s="45"/>
    </row>
    <row r="125" spans="1:22" s="29" customFormat="1" ht="12.75">
      <c r="A125" s="116"/>
      <c r="B125" s="118"/>
      <c r="C125" s="118"/>
      <c r="D125" s="117"/>
      <c r="E125" s="119"/>
      <c r="F125" s="116"/>
      <c r="G125" s="33">
        <f t="shared" si="26"/>
        <v>0</v>
      </c>
      <c r="H125" s="17">
        <f t="shared" si="27"/>
        <v>0</v>
      </c>
      <c r="I125" s="41">
        <f t="shared" si="28"/>
        <v>0</v>
      </c>
      <c r="J125" s="121"/>
      <c r="K125" s="121"/>
      <c r="L125" s="63">
        <f t="shared" si="29"/>
        <v>0</v>
      </c>
      <c r="M125" s="26">
        <f t="shared" si="30"/>
        <v>0</v>
      </c>
      <c r="N125" s="62">
        <f t="shared" si="31"/>
        <v>0</v>
      </c>
      <c r="O125" s="27">
        <f t="shared" si="32"/>
        <v>0</v>
      </c>
      <c r="P125" s="27">
        <f t="shared" si="23"/>
        <v>0</v>
      </c>
      <c r="Q125" s="27">
        <f t="shared" si="33"/>
        <v>0</v>
      </c>
      <c r="R125" s="42">
        <f t="shared" si="34"/>
        <v>0</v>
      </c>
      <c r="S125" s="46"/>
      <c r="U125" s="55"/>
      <c r="V125" s="45"/>
    </row>
    <row r="126" spans="1:19" ht="12.75">
      <c r="A126" s="116"/>
      <c r="B126" s="118"/>
      <c r="C126" s="118"/>
      <c r="D126" s="117"/>
      <c r="E126" s="119"/>
      <c r="F126" s="116"/>
      <c r="G126" s="33">
        <f t="shared" si="26"/>
        <v>0</v>
      </c>
      <c r="H126" s="17">
        <f t="shared" si="27"/>
        <v>0</v>
      </c>
      <c r="I126" s="41">
        <f t="shared" si="28"/>
        <v>0</v>
      </c>
      <c r="J126" s="121"/>
      <c r="K126" s="121"/>
      <c r="L126" s="63">
        <f t="shared" si="29"/>
        <v>0</v>
      </c>
      <c r="M126" s="26">
        <f t="shared" si="30"/>
        <v>0</v>
      </c>
      <c r="N126" s="62">
        <f t="shared" si="31"/>
        <v>0</v>
      </c>
      <c r="O126" s="27">
        <f t="shared" si="32"/>
        <v>0</v>
      </c>
      <c r="P126" s="27">
        <f t="shared" si="23"/>
        <v>0</v>
      </c>
      <c r="Q126" s="27">
        <f t="shared" si="33"/>
        <v>0</v>
      </c>
      <c r="R126" s="42">
        <f t="shared" si="34"/>
        <v>0</v>
      </c>
      <c r="S126" s="16"/>
    </row>
    <row r="127" spans="1:18" s="7" customFormat="1" ht="12.75">
      <c r="A127" s="116"/>
      <c r="B127" s="118"/>
      <c r="C127" s="118"/>
      <c r="D127" s="117"/>
      <c r="E127" s="119"/>
      <c r="F127" s="116"/>
      <c r="G127" s="33">
        <f t="shared" si="26"/>
        <v>0</v>
      </c>
      <c r="H127" s="17">
        <f t="shared" si="27"/>
        <v>0</v>
      </c>
      <c r="I127" s="41">
        <f>_xlfn.IFERROR(((100/(F127/12))/100),0)</f>
        <v>0</v>
      </c>
      <c r="J127" s="121"/>
      <c r="K127" s="121"/>
      <c r="L127" s="63">
        <f>_xlfn.IFERROR(((J127-K127)/F127*G127),0)</f>
        <v>0</v>
      </c>
      <c r="M127" s="26">
        <f t="shared" si="30"/>
        <v>0</v>
      </c>
      <c r="N127" s="62">
        <f>_xlfn.IFERROR(((J127-K127)/F127*M127/30.44),0)</f>
        <v>0</v>
      </c>
      <c r="O127" s="27">
        <f t="shared" si="32"/>
        <v>0</v>
      </c>
      <c r="P127" s="27">
        <f t="shared" si="23"/>
        <v>0</v>
      </c>
      <c r="Q127" s="27">
        <f t="shared" si="33"/>
        <v>0</v>
      </c>
      <c r="R127" s="42">
        <f t="shared" si="34"/>
        <v>0</v>
      </c>
    </row>
    <row r="128" spans="1:18" s="14" customFormat="1" ht="12.75">
      <c r="A128" s="116"/>
      <c r="B128" s="118"/>
      <c r="C128" s="118"/>
      <c r="D128" s="117"/>
      <c r="E128" s="119"/>
      <c r="F128" s="116"/>
      <c r="G128" s="33">
        <f t="shared" si="26"/>
        <v>0</v>
      </c>
      <c r="H128" s="17">
        <f t="shared" si="27"/>
        <v>0</v>
      </c>
      <c r="I128" s="41">
        <f>_xlfn.IFERROR(((100/(F128/12))/100),0)</f>
        <v>0</v>
      </c>
      <c r="J128" s="121"/>
      <c r="K128" s="121"/>
      <c r="L128" s="63">
        <f>_xlfn.IFERROR(((J128-K128)/F128*G128),0)</f>
        <v>0</v>
      </c>
      <c r="M128" s="26">
        <f t="shared" si="30"/>
        <v>0</v>
      </c>
      <c r="N128" s="62">
        <f>_xlfn.IFERROR(((J128-K128)/F128*M128/30.44),0)</f>
        <v>0</v>
      </c>
      <c r="O128" s="27">
        <f t="shared" si="32"/>
        <v>0</v>
      </c>
      <c r="P128" s="27">
        <f t="shared" si="23"/>
        <v>0</v>
      </c>
      <c r="Q128" s="27">
        <f t="shared" si="33"/>
        <v>0</v>
      </c>
      <c r="R128" s="42">
        <f t="shared" si="34"/>
        <v>0</v>
      </c>
    </row>
    <row r="129" spans="1:18" s="14" customFormat="1" ht="12.75">
      <c r="A129" s="116"/>
      <c r="B129" s="118"/>
      <c r="C129" s="118"/>
      <c r="D129" s="117"/>
      <c r="E129" s="119"/>
      <c r="F129" s="116"/>
      <c r="G129" s="33">
        <f t="shared" si="26"/>
        <v>0</v>
      </c>
      <c r="H129" s="17">
        <f t="shared" si="27"/>
        <v>0</v>
      </c>
      <c r="I129" s="41">
        <f>_xlfn.IFERROR(((100/(F129/12))/100),0)</f>
        <v>0</v>
      </c>
      <c r="J129" s="121"/>
      <c r="K129" s="121"/>
      <c r="L129" s="63">
        <f>_xlfn.IFERROR(((J129-K129)/F129*G129),0)</f>
        <v>0</v>
      </c>
      <c r="M129" s="26">
        <f t="shared" si="30"/>
        <v>0</v>
      </c>
      <c r="N129" s="62">
        <f>_xlfn.IFERROR(((J129-K129)/F129*M129/30.44),0)</f>
        <v>0</v>
      </c>
      <c r="O129" s="27">
        <f t="shared" si="32"/>
        <v>0</v>
      </c>
      <c r="P129" s="27">
        <f t="shared" si="23"/>
        <v>0</v>
      </c>
      <c r="Q129" s="27">
        <f t="shared" si="33"/>
        <v>0</v>
      </c>
      <c r="R129" s="42">
        <f t="shared" si="34"/>
        <v>0</v>
      </c>
    </row>
    <row r="130" spans="1:18" s="14" customFormat="1" ht="12.75">
      <c r="A130" s="116"/>
      <c r="B130" s="118"/>
      <c r="C130" s="118"/>
      <c r="D130" s="117"/>
      <c r="E130" s="119"/>
      <c r="F130" s="116"/>
      <c r="G130" s="33">
        <f t="shared" si="26"/>
        <v>0</v>
      </c>
      <c r="H130" s="17">
        <f t="shared" si="27"/>
        <v>0</v>
      </c>
      <c r="I130" s="41">
        <f t="shared" si="28"/>
        <v>0</v>
      </c>
      <c r="J130" s="121"/>
      <c r="K130" s="121"/>
      <c r="L130" s="63">
        <f t="shared" si="29"/>
        <v>0</v>
      </c>
      <c r="M130" s="26">
        <f t="shared" si="30"/>
        <v>0</v>
      </c>
      <c r="N130" s="62">
        <f t="shared" si="31"/>
        <v>0</v>
      </c>
      <c r="O130" s="27">
        <f t="shared" si="32"/>
        <v>0</v>
      </c>
      <c r="P130" s="27">
        <f t="shared" si="23"/>
        <v>0</v>
      </c>
      <c r="Q130" s="27">
        <f t="shared" si="33"/>
        <v>0</v>
      </c>
      <c r="R130" s="42">
        <f t="shared" si="34"/>
        <v>0</v>
      </c>
    </row>
    <row r="131" spans="1:18" ht="12.75">
      <c r="A131" s="116"/>
      <c r="B131" s="118"/>
      <c r="C131" s="118"/>
      <c r="D131" s="117"/>
      <c r="E131" s="119"/>
      <c r="F131" s="116"/>
      <c r="G131" s="33">
        <f t="shared" si="26"/>
        <v>0</v>
      </c>
      <c r="H131" s="17">
        <f t="shared" si="27"/>
        <v>0</v>
      </c>
      <c r="I131" s="41">
        <f t="shared" si="28"/>
        <v>0</v>
      </c>
      <c r="J131" s="121"/>
      <c r="K131" s="121"/>
      <c r="L131" s="63">
        <f t="shared" si="29"/>
        <v>0</v>
      </c>
      <c r="M131" s="26">
        <f t="shared" si="30"/>
        <v>0</v>
      </c>
      <c r="N131" s="62">
        <f t="shared" si="31"/>
        <v>0</v>
      </c>
      <c r="O131" s="27">
        <f t="shared" si="32"/>
        <v>0</v>
      </c>
      <c r="P131" s="27">
        <f t="shared" si="23"/>
        <v>0</v>
      </c>
      <c r="Q131" s="27">
        <f t="shared" si="33"/>
        <v>0</v>
      </c>
      <c r="R131" s="42">
        <f t="shared" si="34"/>
        <v>0</v>
      </c>
    </row>
    <row r="132" spans="1:18" ht="12.75">
      <c r="A132" s="116"/>
      <c r="B132" s="118"/>
      <c r="C132" s="118"/>
      <c r="D132" s="117"/>
      <c r="E132" s="119"/>
      <c r="F132" s="116"/>
      <c r="G132" s="33">
        <f t="shared" si="26"/>
        <v>0</v>
      </c>
      <c r="H132" s="17">
        <f t="shared" si="27"/>
        <v>0</v>
      </c>
      <c r="I132" s="41">
        <f t="shared" si="28"/>
        <v>0</v>
      </c>
      <c r="J132" s="121"/>
      <c r="K132" s="121"/>
      <c r="L132" s="63">
        <f t="shared" si="29"/>
        <v>0</v>
      </c>
      <c r="M132" s="26">
        <f t="shared" si="30"/>
        <v>0</v>
      </c>
      <c r="N132" s="62">
        <f t="shared" si="31"/>
        <v>0</v>
      </c>
      <c r="O132" s="27">
        <f t="shared" si="32"/>
        <v>0</v>
      </c>
      <c r="P132" s="27">
        <f t="shared" si="23"/>
        <v>0</v>
      </c>
      <c r="Q132" s="27">
        <f t="shared" si="33"/>
        <v>0</v>
      </c>
      <c r="R132" s="42">
        <f t="shared" si="34"/>
        <v>0</v>
      </c>
    </row>
    <row r="133" spans="1:18" ht="12.75">
      <c r="A133" s="116"/>
      <c r="B133" s="118"/>
      <c r="C133" s="118"/>
      <c r="D133" s="117"/>
      <c r="E133" s="119"/>
      <c r="F133" s="116"/>
      <c r="G133" s="33">
        <f t="shared" si="26"/>
        <v>0</v>
      </c>
      <c r="H133" s="17">
        <f t="shared" si="27"/>
        <v>0</v>
      </c>
      <c r="I133" s="41">
        <f>_xlfn.IFERROR(((100/(F133/12))/100),0)</f>
        <v>0</v>
      </c>
      <c r="J133" s="121"/>
      <c r="K133" s="121"/>
      <c r="L133" s="63">
        <f>_xlfn.IFERROR(((J133-K133)/F133*G133),0)</f>
        <v>0</v>
      </c>
      <c r="M133" s="26">
        <f t="shared" si="30"/>
        <v>0</v>
      </c>
      <c r="N133" s="62">
        <f>_xlfn.IFERROR(((J133-K133)/F133*M133/30.44),0)</f>
        <v>0</v>
      </c>
      <c r="O133" s="27">
        <f t="shared" si="32"/>
        <v>0</v>
      </c>
      <c r="P133" s="27">
        <f t="shared" si="23"/>
        <v>0</v>
      </c>
      <c r="Q133" s="27">
        <f t="shared" si="33"/>
        <v>0</v>
      </c>
      <c r="R133" s="42">
        <f t="shared" si="34"/>
        <v>0</v>
      </c>
    </row>
    <row r="134" spans="1:18" ht="12.75">
      <c r="A134" s="116"/>
      <c r="B134" s="118"/>
      <c r="C134" s="118"/>
      <c r="D134" s="117"/>
      <c r="E134" s="119"/>
      <c r="F134" s="116"/>
      <c r="G134" s="33">
        <f t="shared" si="26"/>
        <v>0</v>
      </c>
      <c r="H134" s="17">
        <f t="shared" si="27"/>
        <v>0</v>
      </c>
      <c r="I134" s="41">
        <f>_xlfn.IFERROR(((100/(F134/12))/100),0)</f>
        <v>0</v>
      </c>
      <c r="J134" s="121"/>
      <c r="K134" s="121"/>
      <c r="L134" s="63">
        <f>_xlfn.IFERROR(((J134-K134)/F134*G134),0)</f>
        <v>0</v>
      </c>
      <c r="M134" s="26">
        <f t="shared" si="30"/>
        <v>0</v>
      </c>
      <c r="N134" s="62">
        <f>_xlfn.IFERROR(((J134-K134)/F134*M134/30.44),0)</f>
        <v>0</v>
      </c>
      <c r="O134" s="27">
        <f t="shared" si="32"/>
        <v>0</v>
      </c>
      <c r="P134" s="27">
        <f t="shared" si="23"/>
        <v>0</v>
      </c>
      <c r="Q134" s="27">
        <f t="shared" si="33"/>
        <v>0</v>
      </c>
      <c r="R134" s="42">
        <f t="shared" si="34"/>
        <v>0</v>
      </c>
    </row>
    <row r="135" spans="1:18" ht="12.75">
      <c r="A135" s="116"/>
      <c r="B135" s="118"/>
      <c r="C135" s="118"/>
      <c r="D135" s="117"/>
      <c r="E135" s="119"/>
      <c r="F135" s="116"/>
      <c r="G135" s="33">
        <f aca="true" t="shared" si="35" ref="G135:G166">+IF((($J$5-D135)/30.44)&gt;F135,F135,IF((($J$5-D135)/30.44)&lt;1,0,(($J$5-D135)/30.44)))</f>
        <v>0</v>
      </c>
      <c r="H135" s="17">
        <f aca="true" t="shared" si="36" ref="H135:H152">+D135+F135*30.44</f>
        <v>0</v>
      </c>
      <c r="I135" s="41">
        <f>_xlfn.IFERROR(((100/(F135/12))/100),0)</f>
        <v>0</v>
      </c>
      <c r="J135" s="121"/>
      <c r="K135" s="121"/>
      <c r="L135" s="63">
        <f>_xlfn.IFERROR(((J135-K135)/F135*G135),0)</f>
        <v>0</v>
      </c>
      <c r="M135" s="26">
        <f aca="true" t="shared" si="37" ref="M135:M152">IF((IF(AND(D135&gt;$J$5,$O$5&lt;H135),$O$5-D135,IF(H135&lt;$O$5,H135-$J$5,$O$5-$J$5)))&lt;=0,0,(IF(AND(D135&gt;$J$5,$O$5&lt;H135),$O$5-D135,IF(H135&lt;$O$5,H135-$J$5,$O$5-$J$5))))</f>
        <v>0</v>
      </c>
      <c r="N135" s="62">
        <f>_xlfn.IFERROR(((J135-K135)/F135*M135/30.44),0)</f>
        <v>0</v>
      </c>
      <c r="O135" s="27">
        <f t="shared" si="32"/>
        <v>0</v>
      </c>
      <c r="P135" s="27">
        <f t="shared" si="23"/>
        <v>0</v>
      </c>
      <c r="Q135" s="27">
        <f t="shared" si="33"/>
        <v>0</v>
      </c>
      <c r="R135" s="42">
        <f t="shared" si="34"/>
        <v>0</v>
      </c>
    </row>
    <row r="136" spans="1:18" ht="12.75">
      <c r="A136" s="116"/>
      <c r="B136" s="118"/>
      <c r="C136" s="118"/>
      <c r="D136" s="117"/>
      <c r="E136" s="119"/>
      <c r="F136" s="116"/>
      <c r="G136" s="33">
        <f t="shared" si="35"/>
        <v>0</v>
      </c>
      <c r="H136" s="17">
        <f t="shared" si="36"/>
        <v>0</v>
      </c>
      <c r="I136" s="41">
        <f t="shared" si="28"/>
        <v>0</v>
      </c>
      <c r="J136" s="121"/>
      <c r="K136" s="121"/>
      <c r="L136" s="63">
        <f t="shared" si="29"/>
        <v>0</v>
      </c>
      <c r="M136" s="26">
        <f t="shared" si="37"/>
        <v>0</v>
      </c>
      <c r="N136" s="62">
        <f t="shared" si="31"/>
        <v>0</v>
      </c>
      <c r="O136" s="27">
        <f t="shared" si="32"/>
        <v>0</v>
      </c>
      <c r="P136" s="27">
        <f t="shared" si="23"/>
        <v>0</v>
      </c>
      <c r="Q136" s="27">
        <f t="shared" si="33"/>
        <v>0</v>
      </c>
      <c r="R136" s="42">
        <f t="shared" si="34"/>
        <v>0</v>
      </c>
    </row>
    <row r="137" spans="1:18" ht="12.75">
      <c r="A137" s="116"/>
      <c r="B137" s="118"/>
      <c r="C137" s="118"/>
      <c r="D137" s="117"/>
      <c r="E137" s="119"/>
      <c r="F137" s="116"/>
      <c r="G137" s="33">
        <f t="shared" si="35"/>
        <v>0</v>
      </c>
      <c r="H137" s="17">
        <f t="shared" si="36"/>
        <v>0</v>
      </c>
      <c r="I137" s="41">
        <f t="shared" si="28"/>
        <v>0</v>
      </c>
      <c r="J137" s="121"/>
      <c r="K137" s="121"/>
      <c r="L137" s="63">
        <f t="shared" si="29"/>
        <v>0</v>
      </c>
      <c r="M137" s="26">
        <f t="shared" si="37"/>
        <v>0</v>
      </c>
      <c r="N137" s="62">
        <f t="shared" si="31"/>
        <v>0</v>
      </c>
      <c r="O137" s="27">
        <f t="shared" si="32"/>
        <v>0</v>
      </c>
      <c r="P137" s="27">
        <f t="shared" si="23"/>
        <v>0</v>
      </c>
      <c r="Q137" s="27">
        <f t="shared" si="33"/>
        <v>0</v>
      </c>
      <c r="R137" s="42">
        <f t="shared" si="34"/>
        <v>0</v>
      </c>
    </row>
    <row r="138" spans="1:18" ht="12.75">
      <c r="A138" s="116"/>
      <c r="B138" s="118"/>
      <c r="C138" s="118"/>
      <c r="D138" s="117"/>
      <c r="E138" s="119"/>
      <c r="F138" s="116"/>
      <c r="G138" s="33">
        <f t="shared" si="35"/>
        <v>0</v>
      </c>
      <c r="H138" s="17">
        <f t="shared" si="36"/>
        <v>0</v>
      </c>
      <c r="I138" s="41">
        <f t="shared" si="28"/>
        <v>0</v>
      </c>
      <c r="J138" s="121"/>
      <c r="K138" s="121"/>
      <c r="L138" s="63">
        <f t="shared" si="29"/>
        <v>0</v>
      </c>
      <c r="M138" s="26">
        <f t="shared" si="37"/>
        <v>0</v>
      </c>
      <c r="N138" s="62">
        <f t="shared" si="31"/>
        <v>0</v>
      </c>
      <c r="O138" s="27">
        <f t="shared" si="32"/>
        <v>0</v>
      </c>
      <c r="P138" s="27">
        <f t="shared" si="23"/>
        <v>0</v>
      </c>
      <c r="Q138" s="27">
        <f t="shared" si="33"/>
        <v>0</v>
      </c>
      <c r="R138" s="42">
        <f t="shared" si="34"/>
        <v>0</v>
      </c>
    </row>
    <row r="139" spans="1:18" ht="12.75">
      <c r="A139" s="116"/>
      <c r="B139" s="118"/>
      <c r="C139" s="118"/>
      <c r="D139" s="117"/>
      <c r="E139" s="119"/>
      <c r="F139" s="116"/>
      <c r="G139" s="33">
        <f t="shared" si="35"/>
        <v>0</v>
      </c>
      <c r="H139" s="17">
        <f t="shared" si="36"/>
        <v>0</v>
      </c>
      <c r="I139" s="41">
        <f>_xlfn.IFERROR(((100/(F139/12))/100),0)</f>
        <v>0</v>
      </c>
      <c r="J139" s="121"/>
      <c r="K139" s="121"/>
      <c r="L139" s="63">
        <f>_xlfn.IFERROR(((J139-K139)/F139*G139),0)</f>
        <v>0</v>
      </c>
      <c r="M139" s="26">
        <f t="shared" si="37"/>
        <v>0</v>
      </c>
      <c r="N139" s="62">
        <f>_xlfn.IFERROR(((J139-K139)/F139*M139/30.44),0)</f>
        <v>0</v>
      </c>
      <c r="O139" s="27">
        <f t="shared" si="32"/>
        <v>0</v>
      </c>
      <c r="P139" s="27">
        <f t="shared" si="23"/>
        <v>0</v>
      </c>
      <c r="Q139" s="27">
        <f t="shared" si="33"/>
        <v>0</v>
      </c>
      <c r="R139" s="42">
        <f t="shared" si="34"/>
        <v>0</v>
      </c>
    </row>
    <row r="140" spans="1:18" ht="12.75">
      <c r="A140" s="116"/>
      <c r="B140" s="118"/>
      <c r="C140" s="118"/>
      <c r="D140" s="117"/>
      <c r="E140" s="119"/>
      <c r="F140" s="116"/>
      <c r="G140" s="33">
        <f t="shared" si="35"/>
        <v>0</v>
      </c>
      <c r="H140" s="17">
        <f t="shared" si="36"/>
        <v>0</v>
      </c>
      <c r="I140" s="41">
        <f>_xlfn.IFERROR(((100/(F140/12))/100),0)</f>
        <v>0</v>
      </c>
      <c r="J140" s="121"/>
      <c r="K140" s="121"/>
      <c r="L140" s="63">
        <f>_xlfn.IFERROR(((J140-K140)/F140*G140),0)</f>
        <v>0</v>
      </c>
      <c r="M140" s="26">
        <f t="shared" si="37"/>
        <v>0</v>
      </c>
      <c r="N140" s="62">
        <f>_xlfn.IFERROR(((J140-K140)/F140*M140/30.44),0)</f>
        <v>0</v>
      </c>
      <c r="O140" s="27">
        <f t="shared" si="32"/>
        <v>0</v>
      </c>
      <c r="P140" s="27">
        <f t="shared" si="23"/>
        <v>0</v>
      </c>
      <c r="Q140" s="27">
        <f t="shared" si="33"/>
        <v>0</v>
      </c>
      <c r="R140" s="42">
        <f t="shared" si="34"/>
        <v>0</v>
      </c>
    </row>
    <row r="141" spans="1:18" ht="12.75">
      <c r="A141" s="116"/>
      <c r="B141" s="118"/>
      <c r="C141" s="118"/>
      <c r="D141" s="117"/>
      <c r="E141" s="119"/>
      <c r="F141" s="116"/>
      <c r="G141" s="33">
        <f t="shared" si="35"/>
        <v>0</v>
      </c>
      <c r="H141" s="17">
        <f t="shared" si="36"/>
        <v>0</v>
      </c>
      <c r="I141" s="41">
        <f>_xlfn.IFERROR(((100/(F141/12))/100),0)</f>
        <v>0</v>
      </c>
      <c r="J141" s="121"/>
      <c r="K141" s="121"/>
      <c r="L141" s="63">
        <f>_xlfn.IFERROR(((J141-K141)/F141*G141),0)</f>
        <v>0</v>
      </c>
      <c r="M141" s="26">
        <f t="shared" si="37"/>
        <v>0</v>
      </c>
      <c r="N141" s="62">
        <f>_xlfn.IFERROR(((J141-K141)/F141*M141/30.44),0)</f>
        <v>0</v>
      </c>
      <c r="O141" s="27">
        <f t="shared" si="32"/>
        <v>0</v>
      </c>
      <c r="P141" s="27">
        <f t="shared" si="23"/>
        <v>0</v>
      </c>
      <c r="Q141" s="27">
        <f t="shared" si="33"/>
        <v>0</v>
      </c>
      <c r="R141" s="42">
        <f t="shared" si="34"/>
        <v>0</v>
      </c>
    </row>
    <row r="142" spans="1:18" ht="12.75">
      <c r="A142" s="116"/>
      <c r="B142" s="118"/>
      <c r="C142" s="118"/>
      <c r="D142" s="117"/>
      <c r="E142" s="119"/>
      <c r="F142" s="116"/>
      <c r="G142" s="33">
        <f t="shared" si="35"/>
        <v>0</v>
      </c>
      <c r="H142" s="17">
        <f t="shared" si="36"/>
        <v>0</v>
      </c>
      <c r="I142" s="41">
        <f t="shared" si="28"/>
        <v>0</v>
      </c>
      <c r="J142" s="121"/>
      <c r="K142" s="121"/>
      <c r="L142" s="63">
        <f t="shared" si="29"/>
        <v>0</v>
      </c>
      <c r="M142" s="26">
        <f t="shared" si="37"/>
        <v>0</v>
      </c>
      <c r="N142" s="62">
        <f t="shared" si="31"/>
        <v>0</v>
      </c>
      <c r="O142" s="27">
        <f t="shared" si="32"/>
        <v>0</v>
      </c>
      <c r="P142" s="27">
        <f t="shared" si="23"/>
        <v>0</v>
      </c>
      <c r="Q142" s="27">
        <f t="shared" si="33"/>
        <v>0</v>
      </c>
      <c r="R142" s="42">
        <f t="shared" si="34"/>
        <v>0</v>
      </c>
    </row>
    <row r="143" spans="1:18" ht="12.75">
      <c r="A143" s="116"/>
      <c r="B143" s="118"/>
      <c r="C143" s="118"/>
      <c r="D143" s="117"/>
      <c r="E143" s="119"/>
      <c r="F143" s="116"/>
      <c r="G143" s="33">
        <f t="shared" si="35"/>
        <v>0</v>
      </c>
      <c r="H143" s="17">
        <f t="shared" si="36"/>
        <v>0</v>
      </c>
      <c r="I143" s="41">
        <f t="shared" si="28"/>
        <v>0</v>
      </c>
      <c r="J143" s="121"/>
      <c r="K143" s="121"/>
      <c r="L143" s="63">
        <f t="shared" si="29"/>
        <v>0</v>
      </c>
      <c r="M143" s="26">
        <f t="shared" si="37"/>
        <v>0</v>
      </c>
      <c r="N143" s="62">
        <f t="shared" si="31"/>
        <v>0</v>
      </c>
      <c r="O143" s="27">
        <f t="shared" si="32"/>
        <v>0</v>
      </c>
      <c r="P143" s="27">
        <f t="shared" si="23"/>
        <v>0</v>
      </c>
      <c r="Q143" s="27">
        <f t="shared" si="33"/>
        <v>0</v>
      </c>
      <c r="R143" s="42">
        <f t="shared" si="34"/>
        <v>0</v>
      </c>
    </row>
    <row r="144" spans="1:18" ht="12.75">
      <c r="A144" s="116"/>
      <c r="B144" s="118"/>
      <c r="C144" s="118"/>
      <c r="D144" s="117"/>
      <c r="E144" s="119"/>
      <c r="F144" s="116"/>
      <c r="G144" s="33">
        <f t="shared" si="35"/>
        <v>0</v>
      </c>
      <c r="H144" s="17">
        <f t="shared" si="36"/>
        <v>0</v>
      </c>
      <c r="I144" s="41">
        <f t="shared" si="28"/>
        <v>0</v>
      </c>
      <c r="J144" s="121"/>
      <c r="K144" s="121"/>
      <c r="L144" s="63">
        <f t="shared" si="29"/>
        <v>0</v>
      </c>
      <c r="M144" s="26">
        <f t="shared" si="37"/>
        <v>0</v>
      </c>
      <c r="N144" s="62">
        <f t="shared" si="31"/>
        <v>0</v>
      </c>
      <c r="O144" s="27">
        <f t="shared" si="32"/>
        <v>0</v>
      </c>
      <c r="P144" s="27">
        <f t="shared" si="23"/>
        <v>0</v>
      </c>
      <c r="Q144" s="27">
        <f t="shared" si="33"/>
        <v>0</v>
      </c>
      <c r="R144" s="42">
        <f t="shared" si="34"/>
        <v>0</v>
      </c>
    </row>
    <row r="145" spans="1:18" ht="12.75">
      <c r="A145" s="116"/>
      <c r="B145" s="118"/>
      <c r="C145" s="118"/>
      <c r="D145" s="117"/>
      <c r="E145" s="119"/>
      <c r="F145" s="116"/>
      <c r="G145" s="33">
        <f t="shared" si="35"/>
        <v>0</v>
      </c>
      <c r="H145" s="17">
        <f t="shared" si="36"/>
        <v>0</v>
      </c>
      <c r="I145" s="41">
        <f>_xlfn.IFERROR(((100/(F145/12))/100),0)</f>
        <v>0</v>
      </c>
      <c r="J145" s="121"/>
      <c r="K145" s="121"/>
      <c r="L145" s="63">
        <f>_xlfn.IFERROR(((J145-K145)/F145*G145),0)</f>
        <v>0</v>
      </c>
      <c r="M145" s="26">
        <f t="shared" si="37"/>
        <v>0</v>
      </c>
      <c r="N145" s="62">
        <f>_xlfn.IFERROR(((J145-K145)/F145*M145/30.44),0)</f>
        <v>0</v>
      </c>
      <c r="O145" s="27">
        <f t="shared" si="32"/>
        <v>0</v>
      </c>
      <c r="P145" s="27">
        <f t="shared" si="23"/>
        <v>0</v>
      </c>
      <c r="Q145" s="27">
        <f t="shared" si="33"/>
        <v>0</v>
      </c>
      <c r="R145" s="42">
        <f t="shared" si="34"/>
        <v>0</v>
      </c>
    </row>
    <row r="146" spans="1:18" ht="12.75">
      <c r="A146" s="116"/>
      <c r="B146" s="118"/>
      <c r="C146" s="118"/>
      <c r="D146" s="117"/>
      <c r="E146" s="119"/>
      <c r="F146" s="116"/>
      <c r="G146" s="33">
        <f t="shared" si="35"/>
        <v>0</v>
      </c>
      <c r="H146" s="17">
        <f t="shared" si="36"/>
        <v>0</v>
      </c>
      <c r="I146" s="41">
        <f>_xlfn.IFERROR(((100/(F146/12))/100),0)</f>
        <v>0</v>
      </c>
      <c r="J146" s="121"/>
      <c r="K146" s="121"/>
      <c r="L146" s="63">
        <f>_xlfn.IFERROR(((J146-K146)/F146*G146),0)</f>
        <v>0</v>
      </c>
      <c r="M146" s="26">
        <f t="shared" si="37"/>
        <v>0</v>
      </c>
      <c r="N146" s="62">
        <f>_xlfn.IFERROR(((J146-K146)/F146*M146/30.44),0)</f>
        <v>0</v>
      </c>
      <c r="O146" s="27">
        <f t="shared" si="32"/>
        <v>0</v>
      </c>
      <c r="P146" s="27">
        <f t="shared" si="23"/>
        <v>0</v>
      </c>
      <c r="Q146" s="27">
        <f t="shared" si="33"/>
        <v>0</v>
      </c>
      <c r="R146" s="42">
        <f t="shared" si="34"/>
        <v>0</v>
      </c>
    </row>
    <row r="147" spans="1:18" ht="12.75">
      <c r="A147" s="116"/>
      <c r="B147" s="118"/>
      <c r="C147" s="118"/>
      <c r="D147" s="117"/>
      <c r="E147" s="119"/>
      <c r="F147" s="116"/>
      <c r="G147" s="33">
        <f t="shared" si="35"/>
        <v>0</v>
      </c>
      <c r="H147" s="17">
        <f t="shared" si="36"/>
        <v>0</v>
      </c>
      <c r="I147" s="41">
        <f>_xlfn.IFERROR(((100/(F147/12))/100),0)</f>
        <v>0</v>
      </c>
      <c r="J147" s="121"/>
      <c r="K147" s="121"/>
      <c r="L147" s="63">
        <f>_xlfn.IFERROR(((J147-K147)/F147*G147),0)</f>
        <v>0</v>
      </c>
      <c r="M147" s="26">
        <f t="shared" si="37"/>
        <v>0</v>
      </c>
      <c r="N147" s="62">
        <f>_xlfn.IFERROR(((J147-K147)/F147*M147/30.44),0)</f>
        <v>0</v>
      </c>
      <c r="O147" s="27">
        <f t="shared" si="32"/>
        <v>0</v>
      </c>
      <c r="P147" s="27">
        <f t="shared" si="23"/>
        <v>0</v>
      </c>
      <c r="Q147" s="27">
        <f t="shared" si="33"/>
        <v>0</v>
      </c>
      <c r="R147" s="42">
        <f t="shared" si="34"/>
        <v>0</v>
      </c>
    </row>
    <row r="148" spans="1:18" ht="12.75">
      <c r="A148" s="116"/>
      <c r="B148" s="118"/>
      <c r="C148" s="118"/>
      <c r="D148" s="117"/>
      <c r="E148" s="119"/>
      <c r="F148" s="116"/>
      <c r="G148" s="33">
        <f t="shared" si="35"/>
        <v>0</v>
      </c>
      <c r="H148" s="17">
        <f t="shared" si="36"/>
        <v>0</v>
      </c>
      <c r="I148" s="41">
        <f t="shared" si="28"/>
        <v>0</v>
      </c>
      <c r="J148" s="121"/>
      <c r="K148" s="121"/>
      <c r="L148" s="63">
        <f t="shared" si="29"/>
        <v>0</v>
      </c>
      <c r="M148" s="26">
        <f t="shared" si="37"/>
        <v>0</v>
      </c>
      <c r="N148" s="62">
        <f t="shared" si="31"/>
        <v>0</v>
      </c>
      <c r="O148" s="27">
        <f t="shared" si="32"/>
        <v>0</v>
      </c>
      <c r="P148" s="27">
        <f t="shared" si="23"/>
        <v>0</v>
      </c>
      <c r="Q148" s="27">
        <f t="shared" si="33"/>
        <v>0</v>
      </c>
      <c r="R148" s="42">
        <f t="shared" si="34"/>
        <v>0</v>
      </c>
    </row>
    <row r="149" spans="1:18" ht="12.75">
      <c r="A149" s="116"/>
      <c r="B149" s="118"/>
      <c r="C149" s="118"/>
      <c r="D149" s="117"/>
      <c r="E149" s="119"/>
      <c r="F149" s="116"/>
      <c r="G149" s="33">
        <f t="shared" si="35"/>
        <v>0</v>
      </c>
      <c r="H149" s="17">
        <f t="shared" si="36"/>
        <v>0</v>
      </c>
      <c r="I149" s="41">
        <f>_xlfn.IFERROR(((100/(F149/12))/100),0)</f>
        <v>0</v>
      </c>
      <c r="J149" s="121"/>
      <c r="K149" s="121"/>
      <c r="L149" s="63">
        <f>_xlfn.IFERROR(((J149-K149)/F149*G149),0)</f>
        <v>0</v>
      </c>
      <c r="M149" s="26">
        <f t="shared" si="37"/>
        <v>0</v>
      </c>
      <c r="N149" s="62">
        <f>_xlfn.IFERROR(((J149-K149)/F149*M149/30.44),0)</f>
        <v>0</v>
      </c>
      <c r="O149" s="27">
        <f t="shared" si="32"/>
        <v>0</v>
      </c>
      <c r="P149" s="27">
        <f t="shared" si="23"/>
        <v>0</v>
      </c>
      <c r="Q149" s="27">
        <f t="shared" si="33"/>
        <v>0</v>
      </c>
      <c r="R149" s="42">
        <f t="shared" si="34"/>
        <v>0</v>
      </c>
    </row>
    <row r="150" spans="1:18" ht="12.75">
      <c r="A150" s="116"/>
      <c r="B150" s="118"/>
      <c r="C150" s="118"/>
      <c r="D150" s="117"/>
      <c r="E150" s="119"/>
      <c r="F150" s="116"/>
      <c r="G150" s="33">
        <f t="shared" si="35"/>
        <v>0</v>
      </c>
      <c r="H150" s="17">
        <f t="shared" si="36"/>
        <v>0</v>
      </c>
      <c r="I150" s="41">
        <f>_xlfn.IFERROR(((100/(F150/12))/100),0)</f>
        <v>0</v>
      </c>
      <c r="J150" s="121"/>
      <c r="K150" s="121"/>
      <c r="L150" s="63">
        <f>_xlfn.IFERROR(((J150-K150)/F150*G150),0)</f>
        <v>0</v>
      </c>
      <c r="M150" s="26">
        <f t="shared" si="37"/>
        <v>0</v>
      </c>
      <c r="N150" s="62">
        <f>_xlfn.IFERROR(((J150-K150)/F150*M150/30.44),0)</f>
        <v>0</v>
      </c>
      <c r="O150" s="27">
        <f t="shared" si="32"/>
        <v>0</v>
      </c>
      <c r="P150" s="27">
        <f t="shared" si="23"/>
        <v>0</v>
      </c>
      <c r="Q150" s="27">
        <f t="shared" si="33"/>
        <v>0</v>
      </c>
      <c r="R150" s="42">
        <f t="shared" si="34"/>
        <v>0</v>
      </c>
    </row>
    <row r="151" spans="1:18" ht="12.75">
      <c r="A151" s="116"/>
      <c r="B151" s="118"/>
      <c r="C151" s="118"/>
      <c r="D151" s="117"/>
      <c r="E151" s="119"/>
      <c r="F151" s="116"/>
      <c r="G151" s="33">
        <f t="shared" si="35"/>
        <v>0</v>
      </c>
      <c r="H151" s="17">
        <f t="shared" si="36"/>
        <v>0</v>
      </c>
      <c r="I151" s="41">
        <f t="shared" si="28"/>
        <v>0</v>
      </c>
      <c r="J151" s="121"/>
      <c r="K151" s="121"/>
      <c r="L151" s="63">
        <f t="shared" si="29"/>
        <v>0</v>
      </c>
      <c r="M151" s="26">
        <f t="shared" si="37"/>
        <v>0</v>
      </c>
      <c r="N151" s="62">
        <f t="shared" si="31"/>
        <v>0</v>
      </c>
      <c r="O151" s="27">
        <f t="shared" si="32"/>
        <v>0</v>
      </c>
      <c r="P151" s="27">
        <f t="shared" si="23"/>
        <v>0</v>
      </c>
      <c r="Q151" s="27">
        <f t="shared" si="33"/>
        <v>0</v>
      </c>
      <c r="R151" s="42">
        <f t="shared" si="34"/>
        <v>0</v>
      </c>
    </row>
    <row r="152" spans="1:18" ht="12.75">
      <c r="A152" s="116" t="s">
        <v>27</v>
      </c>
      <c r="B152" s="118" t="s">
        <v>142</v>
      </c>
      <c r="C152" s="118"/>
      <c r="D152" s="117">
        <v>32143</v>
      </c>
      <c r="E152" s="119">
        <v>-2</v>
      </c>
      <c r="F152" s="116">
        <v>120</v>
      </c>
      <c r="G152" s="33">
        <f t="shared" si="35"/>
        <v>120</v>
      </c>
      <c r="H152" s="17">
        <f t="shared" si="36"/>
        <v>35795.8</v>
      </c>
      <c r="I152" s="41">
        <f t="shared" si="28"/>
        <v>0.1</v>
      </c>
      <c r="J152" s="120">
        <v>50000</v>
      </c>
      <c r="K152" s="120">
        <v>5000</v>
      </c>
      <c r="L152" s="63">
        <f t="shared" si="29"/>
        <v>45000</v>
      </c>
      <c r="M152" s="26">
        <f t="shared" si="37"/>
        <v>0</v>
      </c>
      <c r="N152" s="62">
        <f t="shared" si="31"/>
        <v>0</v>
      </c>
      <c r="O152" s="27">
        <f t="shared" si="22"/>
        <v>50000</v>
      </c>
      <c r="P152" s="27">
        <f t="shared" si="23"/>
        <v>5000</v>
      </c>
      <c r="Q152" s="27">
        <f t="shared" si="24"/>
        <v>45000</v>
      </c>
      <c r="R152" s="42">
        <f t="shared" si="25"/>
        <v>0</v>
      </c>
    </row>
    <row r="153" spans="1:18" ht="13.5" thickBot="1">
      <c r="A153" s="110" t="s">
        <v>3</v>
      </c>
      <c r="B153" s="111"/>
      <c r="C153" s="111"/>
      <c r="D153" s="112"/>
      <c r="E153" s="113"/>
      <c r="F153" s="110"/>
      <c r="G153" s="110"/>
      <c r="H153" s="112"/>
      <c r="I153" s="111"/>
      <c r="J153" s="114">
        <f>SUBTOTAL(109,J7:J152)</f>
        <v>1838874.54</v>
      </c>
      <c r="K153" s="114">
        <f>SUBTOTAL(109,K7:K152)</f>
        <v>60000</v>
      </c>
      <c r="L153" s="115">
        <f>SUBTOTAL(109,L7:L152)</f>
        <v>625354.6397266019</v>
      </c>
      <c r="M153" s="112"/>
      <c r="N153" s="115">
        <f>SUBTOTAL(109,N7:N152)</f>
        <v>241087.08261972564</v>
      </c>
      <c r="O153" s="115">
        <f>SUBTOTAL(109,O7:O152)</f>
        <v>1838874.54</v>
      </c>
      <c r="P153" s="115">
        <f>SUBTOTAL(109,P7:P152)</f>
        <v>60000</v>
      </c>
      <c r="Q153" s="115">
        <f>SUBTOTAL(109,Q7:Q152)</f>
        <v>866441.7223463282</v>
      </c>
      <c r="R153" s="115">
        <f>SUBTOTAL(109,R7:R152)</f>
        <v>912432.8176536721</v>
      </c>
    </row>
    <row r="154" spans="1:18" ht="13.5" thickTop="1">
      <c r="A154" s="29"/>
      <c r="B154" s="29"/>
      <c r="C154" s="29"/>
      <c r="D154" s="30"/>
      <c r="E154" s="30"/>
      <c r="F154" s="31"/>
      <c r="G154" s="31"/>
      <c r="H154" s="31"/>
      <c r="I154" s="31"/>
      <c r="J154" s="46"/>
      <c r="K154" s="46"/>
      <c r="L154" s="46"/>
      <c r="M154" s="47"/>
      <c r="N154" s="46"/>
      <c r="O154" s="46"/>
      <c r="P154" s="46"/>
      <c r="Q154" s="46"/>
      <c r="R154" s="46"/>
    </row>
    <row r="155" spans="1:18" ht="12.75">
      <c r="A155" s="7"/>
      <c r="B155" s="7"/>
      <c r="C155" s="7"/>
      <c r="D155" s="34"/>
      <c r="E155" s="34"/>
      <c r="F155" s="7"/>
      <c r="G155" s="7"/>
      <c r="H155" s="7"/>
      <c r="I155" s="7"/>
      <c r="M155" s="52" t="s">
        <v>1</v>
      </c>
      <c r="N155" s="48">
        <f>+N153-N157</f>
        <v>225782.42261972564</v>
      </c>
      <c r="O155" s="48">
        <f>+O153-O157</f>
        <v>2603.0500000000466</v>
      </c>
      <c r="P155" s="48"/>
      <c r="Q155" s="48">
        <f>+Q153-Q157</f>
        <v>415639.7023463282</v>
      </c>
      <c r="R155" s="48">
        <f>+R153-R157</f>
        <v>-473036.6523463279</v>
      </c>
    </row>
    <row r="156" spans="1:18" ht="12.75">
      <c r="A156" s="7"/>
      <c r="B156" s="14"/>
      <c r="C156" s="14"/>
      <c r="D156" s="34"/>
      <c r="E156" s="34"/>
      <c r="F156" s="7"/>
      <c r="G156" s="7"/>
      <c r="H156" s="7"/>
      <c r="I156" s="7"/>
      <c r="J156" s="7"/>
      <c r="K156" s="7"/>
      <c r="L156" s="6"/>
      <c r="M156" s="52"/>
      <c r="N156" s="48"/>
      <c r="O156" s="48"/>
      <c r="P156" s="48"/>
      <c r="Q156" s="48"/>
      <c r="R156" s="48"/>
    </row>
    <row r="157" spans="1:18" ht="12.75">
      <c r="A157" s="14"/>
      <c r="B157" s="14"/>
      <c r="C157" s="14"/>
      <c r="D157" s="35"/>
      <c r="E157" s="35"/>
      <c r="F157" s="14"/>
      <c r="G157" s="14"/>
      <c r="H157" s="14"/>
      <c r="I157" s="12"/>
      <c r="J157" s="12"/>
      <c r="K157" s="12"/>
      <c r="L157" s="10"/>
      <c r="M157" s="51" t="s">
        <v>143</v>
      </c>
      <c r="N157" s="49">
        <v>15304.66</v>
      </c>
      <c r="O157" s="49">
        <v>1836271.49</v>
      </c>
      <c r="P157" s="49"/>
      <c r="Q157" s="49">
        <v>450802.02</v>
      </c>
      <c r="R157" s="50">
        <v>1385469.47</v>
      </c>
    </row>
    <row r="158" spans="1:18" ht="12.75">
      <c r="A158" s="14"/>
      <c r="B158" s="14"/>
      <c r="C158" s="14"/>
      <c r="D158" s="35"/>
      <c r="E158" s="35"/>
      <c r="F158" s="14"/>
      <c r="G158" s="14"/>
      <c r="H158" s="14"/>
      <c r="I158" s="12"/>
      <c r="J158" s="12"/>
      <c r="K158" s="12"/>
      <c r="L158" s="10"/>
      <c r="M158" s="14"/>
      <c r="N158" s="14"/>
      <c r="O158" s="32"/>
      <c r="P158" s="32"/>
      <c r="Q158" s="32"/>
      <c r="R158" s="36"/>
    </row>
    <row r="160" spans="15:16" ht="12.75">
      <c r="O160" s="27">
        <f>+O153</f>
        <v>1838874.54</v>
      </c>
      <c r="P160" s="27">
        <v>592983.6513866992</v>
      </c>
    </row>
  </sheetData>
  <sheetProtection password="AA41" sheet="1" insertRows="0" deleteRows="0"/>
  <mergeCells count="3">
    <mergeCell ref="J5:L5"/>
    <mergeCell ref="T1:T2"/>
    <mergeCell ref="O5:Q5"/>
  </mergeCells>
  <hyperlinks>
    <hyperlink ref="G2" location="Contenido!F22" display="Contenido"/>
    <hyperlink ref="T1:T2" location="'Balance General'!H19" display="5-2"/>
    <hyperlink ref="T4" location="Contenido!F21" display="Contenido"/>
  </hyperlink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bestFit="1" customWidth="1"/>
    <col min="2" max="5" width="12.28125" style="0" customWidth="1"/>
    <col min="6" max="12" width="12.7109375" style="0" customWidth="1"/>
    <col min="13" max="104" width="17.8515625" style="0" bestFit="1" customWidth="1"/>
    <col min="105" max="105" width="11.57421875" style="0" bestFit="1" customWidth="1"/>
  </cols>
  <sheetData>
    <row r="1" ht="12.75">
      <c r="A1" s="10" t="s">
        <v>153</v>
      </c>
    </row>
    <row r="2" ht="12.75">
      <c r="A2" s="10" t="s">
        <v>162</v>
      </c>
    </row>
    <row r="3" ht="12.75">
      <c r="A3" s="15" t="str">
        <f>+'Recalculo de depreciacion'!A3</f>
        <v>Al 31 de diciembre del 2016</v>
      </c>
    </row>
    <row r="4" ht="12.75">
      <c r="B4" s="15"/>
    </row>
    <row r="6" spans="2:12" ht="12.75">
      <c r="B6" s="126" t="s">
        <v>163</v>
      </c>
      <c r="C6" s="126"/>
      <c r="D6" s="126"/>
      <c r="F6" s="126" t="s">
        <v>155</v>
      </c>
      <c r="G6" s="126"/>
      <c r="H6" s="126"/>
      <c r="J6" s="126" t="s">
        <v>1</v>
      </c>
      <c r="K6" s="126"/>
      <c r="L6" s="126"/>
    </row>
    <row r="7" spans="1:12" s="60" customFormat="1" ht="26.25">
      <c r="A7" s="59" t="s">
        <v>164</v>
      </c>
      <c r="B7" s="59" t="s">
        <v>24</v>
      </c>
      <c r="C7" s="59" t="s">
        <v>25</v>
      </c>
      <c r="D7" s="59" t="s">
        <v>26</v>
      </c>
      <c r="E7" s="82" t="s">
        <v>149</v>
      </c>
      <c r="F7" s="59" t="s">
        <v>150</v>
      </c>
      <c r="G7" s="59" t="s">
        <v>165</v>
      </c>
      <c r="H7" s="59" t="s">
        <v>166</v>
      </c>
      <c r="I7" s="82" t="s">
        <v>167</v>
      </c>
      <c r="J7" s="59" t="s">
        <v>168</v>
      </c>
      <c r="K7" s="59" t="s">
        <v>169</v>
      </c>
      <c r="L7" s="59" t="s">
        <v>170</v>
      </c>
    </row>
    <row r="8" spans="1:12" s="54" customFormat="1" ht="12.75">
      <c r="A8" t="s">
        <v>88</v>
      </c>
      <c r="B8">
        <f>SUMIF('Recalculo de depreciacion'!$A$7:$A$528,A8,'Recalculo de depreciacion'!$J$7:$J$528)</f>
        <v>20439.06</v>
      </c>
      <c r="C8">
        <f>SUMIF('Recalculo de depreciacion'!$A$7:$A$528,A8,'Recalculo de depreciacion'!$L$7:$L$528)</f>
        <v>11022.55309169222</v>
      </c>
      <c r="D8">
        <f aca="true" t="shared" si="0" ref="D8:D13">+B8-C8</f>
        <v>9416.506908307781</v>
      </c>
      <c r="E8"/>
      <c r="F8"/>
      <c r="G8"/>
      <c r="H8"/>
      <c r="J8">
        <f aca="true" t="shared" si="1" ref="J8:L13">+B8-F8</f>
        <v>20439.06</v>
      </c>
      <c r="K8">
        <f t="shared" si="1"/>
        <v>11022.55309169222</v>
      </c>
      <c r="L8">
        <f t="shared" si="1"/>
        <v>9416.506908307781</v>
      </c>
    </row>
    <row r="9" spans="1:12" ht="12.75">
      <c r="A9" t="s">
        <v>86</v>
      </c>
      <c r="B9">
        <f>SUMIF('Recalculo de depreciacion'!$A$7:$A$528,A9,'Recalculo de depreciacion'!$J$7:$J$528)</f>
        <v>11657.23</v>
      </c>
      <c r="C9">
        <f>SUMIF('Recalculo de depreciacion'!$A$7:$A$528,A9,'Recalculo de depreciacion'!$L$7:$L$528)</f>
        <v>1794.255825667981</v>
      </c>
      <c r="D9">
        <f t="shared" si="0"/>
        <v>9862.97417433202</v>
      </c>
      <c r="J9">
        <f t="shared" si="1"/>
        <v>11657.23</v>
      </c>
      <c r="K9">
        <f t="shared" si="1"/>
        <v>1794.255825667981</v>
      </c>
      <c r="L9">
        <f t="shared" si="1"/>
        <v>9862.97417433202</v>
      </c>
    </row>
    <row r="10" spans="1:12" ht="12.75">
      <c r="A10" t="s">
        <v>30</v>
      </c>
      <c r="B10">
        <f>SUMIF('Recalculo de depreciacion'!$A$7:$A$528,A10,'Recalculo de depreciacion'!$J$7:$J$528)</f>
        <v>4582.67</v>
      </c>
      <c r="C10">
        <f>SUMIF('Recalculo de depreciacion'!$A$7:$A$528,A10,'Recalculo de depreciacion'!$L$7:$L$528)</f>
        <v>1698.802143561104</v>
      </c>
      <c r="D10">
        <f t="shared" si="0"/>
        <v>2883.867856438896</v>
      </c>
      <c r="J10">
        <f t="shared" si="1"/>
        <v>4582.67</v>
      </c>
      <c r="K10">
        <f t="shared" si="1"/>
        <v>1698.802143561104</v>
      </c>
      <c r="L10">
        <f t="shared" si="1"/>
        <v>2883.867856438896</v>
      </c>
    </row>
    <row r="11" spans="1:12" ht="12.75">
      <c r="A11" t="s">
        <v>27</v>
      </c>
      <c r="B11">
        <f>SUMIF('Recalculo de depreciacion'!$A$7:$A$528,A11,'Recalculo de depreciacion'!$J$7:$J$528)</f>
        <v>1270532.8200000003</v>
      </c>
      <c r="C11">
        <f>SUMIF('Recalculo de depreciacion'!$A$7:$A$528,A11,'Recalculo de depreciacion'!$L$7:$L$528)</f>
        <v>523708.9994059351</v>
      </c>
      <c r="D11">
        <f t="shared" si="0"/>
        <v>746823.8205940651</v>
      </c>
      <c r="J11">
        <f t="shared" si="1"/>
        <v>1270532.8200000003</v>
      </c>
      <c r="K11">
        <f t="shared" si="1"/>
        <v>523708.9994059351</v>
      </c>
      <c r="L11">
        <f t="shared" si="1"/>
        <v>746823.8205940651</v>
      </c>
    </row>
    <row r="12" spans="1:12" ht="12.75">
      <c r="A12" t="s">
        <v>35</v>
      </c>
      <c r="B12">
        <f>SUMIF('Recalculo de depreciacion'!$A$7:$A$528,A12,'Recalculo de depreciacion'!$J$7:$J$528)</f>
        <v>41250.67</v>
      </c>
      <c r="C12">
        <f>SUMIF('Recalculo de depreciacion'!$A$7:$A$528,A12,'Recalculo de depreciacion'!$L$7:$L$528)</f>
        <v>6374.31391261498</v>
      </c>
      <c r="D12">
        <f t="shared" si="0"/>
        <v>34876.35608738502</v>
      </c>
      <c r="J12">
        <f t="shared" si="1"/>
        <v>41250.67</v>
      </c>
      <c r="K12">
        <f t="shared" si="1"/>
        <v>6374.31391261498</v>
      </c>
      <c r="L12">
        <f t="shared" si="1"/>
        <v>34876.35608738502</v>
      </c>
    </row>
    <row r="13" spans="1:12" ht="12.75">
      <c r="A13" t="s">
        <v>28</v>
      </c>
      <c r="B13">
        <f>SUMIF('Recalculo de depreciacion'!$A$7:$A$528,A13,'Recalculo de depreciacion'!$J$7:$J$528)</f>
        <v>490412.08999999997</v>
      </c>
      <c r="C13">
        <f>SUMIF('Recalculo de depreciacion'!$A$7:$A$528,A13,'Recalculo de depreciacion'!$L$7:$L$528)</f>
        <v>80755.71534713096</v>
      </c>
      <c r="D13">
        <f t="shared" si="0"/>
        <v>409656.374652869</v>
      </c>
      <c r="J13">
        <f t="shared" si="1"/>
        <v>490412.08999999997</v>
      </c>
      <c r="K13">
        <f t="shared" si="1"/>
        <v>80755.71534713096</v>
      </c>
      <c r="L13">
        <f t="shared" si="1"/>
        <v>409656.374652869</v>
      </c>
    </row>
    <row r="14" spans="1:12" ht="12.75">
      <c r="A14" s="5" t="s">
        <v>3</v>
      </c>
      <c r="B14" s="53">
        <f>SUBTOTAL(109,B8:B13)</f>
        <v>1838874.54</v>
      </c>
      <c r="C14" s="53">
        <f>SUBTOTAL(109,C8:C13)</f>
        <v>625354.6397266022</v>
      </c>
      <c r="D14" s="53">
        <f>SUBTOTAL(109,D8:D13)</f>
        <v>1213519.9002733978</v>
      </c>
      <c r="E14" s="5"/>
      <c r="F14" s="53">
        <f>SUBTOTAL(109,F8:F13)</f>
        <v>0</v>
      </c>
      <c r="G14" s="53">
        <f>SUBTOTAL(109,G8:G13)</f>
        <v>0</v>
      </c>
      <c r="H14" s="53">
        <f>SUBTOTAL(109,H8:H13)</f>
        <v>0</v>
      </c>
      <c r="I14" s="5"/>
      <c r="J14" s="53">
        <f>SUBTOTAL(109,J8:J13)</f>
        <v>1838874.54</v>
      </c>
      <c r="K14" s="53">
        <f>SUBTOTAL(109,K8:K13)</f>
        <v>625354.6397266022</v>
      </c>
      <c r="L14" s="53">
        <f>SUBTOTAL(109,L8:L13)</f>
        <v>1213519.9002733978</v>
      </c>
    </row>
    <row r="19" spans="2:5" ht="12.75">
      <c r="B19" s="56"/>
      <c r="C19" s="57"/>
      <c r="D19" s="57"/>
      <c r="E19" s="57"/>
    </row>
    <row r="20" spans="2:5" ht="12.75">
      <c r="B20" s="56"/>
      <c r="C20" s="57"/>
      <c r="D20" s="57"/>
      <c r="E20" s="57"/>
    </row>
    <row r="21" spans="2:5" ht="12.75">
      <c r="B21" s="56"/>
      <c r="C21" s="57"/>
      <c r="D21" s="57"/>
      <c r="E21" s="57"/>
    </row>
    <row r="24" spans="1:6" ht="12.75">
      <c r="A24" s="65" t="s">
        <v>157</v>
      </c>
      <c r="B24" s="65" t="s">
        <v>156</v>
      </c>
      <c r="C24" s="66"/>
      <c r="D24" s="66"/>
      <c r="E24" s="66"/>
      <c r="F24" s="67"/>
    </row>
    <row r="25" spans="1:6" ht="12.75">
      <c r="A25" s="73" t="s">
        <v>5</v>
      </c>
      <c r="B25" s="68" t="s">
        <v>161</v>
      </c>
      <c r="C25" s="69" t="s">
        <v>158</v>
      </c>
      <c r="D25" s="69" t="s">
        <v>160</v>
      </c>
      <c r="E25" s="69" t="s">
        <v>159</v>
      </c>
      <c r="F25" s="70" t="s">
        <v>145</v>
      </c>
    </row>
    <row r="26" spans="1:6" ht="12.75">
      <c r="A26" s="68" t="s">
        <v>88</v>
      </c>
      <c r="B26" s="74">
        <v>5804.610841363669</v>
      </c>
      <c r="C26" s="75">
        <v>0</v>
      </c>
      <c r="D26" s="75">
        <v>0</v>
      </c>
      <c r="E26" s="75">
        <v>0</v>
      </c>
      <c r="F26" s="76">
        <v>5804.610841363669</v>
      </c>
    </row>
    <row r="27" spans="1:6" ht="12.75">
      <c r="A27" s="71" t="s">
        <v>86</v>
      </c>
      <c r="B27" s="77">
        <v>1263.7601511169514</v>
      </c>
      <c r="C27" s="58">
        <v>0</v>
      </c>
      <c r="D27" s="58">
        <v>0</v>
      </c>
      <c r="E27" s="58">
        <v>0</v>
      </c>
      <c r="F27" s="78">
        <v>1263.7601511169514</v>
      </c>
    </row>
    <row r="28" spans="1:6" ht="12.75">
      <c r="A28" s="71" t="s">
        <v>30</v>
      </c>
      <c r="B28" s="77">
        <v>496.8071944809461</v>
      </c>
      <c r="C28" s="58">
        <v>0</v>
      </c>
      <c r="D28" s="58">
        <v>0</v>
      </c>
      <c r="E28" s="58">
        <v>0</v>
      </c>
      <c r="F28" s="78">
        <v>496.8071944809461</v>
      </c>
    </row>
    <row r="29" spans="1:6" ht="12.75">
      <c r="A29" s="71" t="s">
        <v>27</v>
      </c>
      <c r="B29" s="77">
        <v>108775.63423127463</v>
      </c>
      <c r="C29" s="58">
        <v>7301.248357424442</v>
      </c>
      <c r="D29" s="58">
        <v>383.65089794141926</v>
      </c>
      <c r="E29" s="58">
        <v>450.98554533508536</v>
      </c>
      <c r="F29" s="78">
        <v>116911.51903197558</v>
      </c>
    </row>
    <row r="30" spans="1:6" ht="12.75">
      <c r="A30" s="71" t="s">
        <v>35</v>
      </c>
      <c r="B30" s="77">
        <v>4471.98459264126</v>
      </c>
      <c r="C30" s="58">
        <v>0</v>
      </c>
      <c r="D30" s="58">
        <v>0</v>
      </c>
      <c r="E30" s="58">
        <v>0</v>
      </c>
      <c r="F30" s="78">
        <v>4471.98459264126</v>
      </c>
    </row>
    <row r="31" spans="1:6" ht="12.75">
      <c r="A31" s="71" t="s">
        <v>28</v>
      </c>
      <c r="B31" s="77">
        <v>48193.96320630749</v>
      </c>
      <c r="C31" s="58">
        <v>0</v>
      </c>
      <c r="D31" s="58">
        <v>0</v>
      </c>
      <c r="E31" s="58">
        <v>0</v>
      </c>
      <c r="F31" s="78">
        <v>48193.96320630749</v>
      </c>
    </row>
    <row r="32" spans="1:6" ht="12.75">
      <c r="A32" s="72" t="s">
        <v>145</v>
      </c>
      <c r="B32" s="79">
        <v>169006.76021718496</v>
      </c>
      <c r="C32" s="80">
        <v>7301.248357424442</v>
      </c>
      <c r="D32" s="80">
        <v>383.65089794141926</v>
      </c>
      <c r="E32" s="80">
        <v>450.98554533508536</v>
      </c>
      <c r="F32" s="81">
        <v>177142.6450178859</v>
      </c>
    </row>
  </sheetData>
  <sheetProtection insertColumns="0" insertRows="0" deleteColumns="0" deleteRows="0"/>
  <mergeCells count="3">
    <mergeCell ref="F6:H6"/>
    <mergeCell ref="J6:L6"/>
    <mergeCell ref="B6:D6"/>
  </mergeCell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/>
  <dimension ref="A4:I7"/>
  <sheetViews>
    <sheetView zoomScalePageLayoutView="0" workbookViewId="0" topLeftCell="A1">
      <selection activeCell="I4" sqref="I4"/>
    </sheetView>
  </sheetViews>
  <sheetFormatPr defaultColWidth="11.421875" defaultRowHeight="12.75"/>
  <cols>
    <col min="3" max="3" width="29.8515625" style="0" bestFit="1" customWidth="1"/>
    <col min="4" max="4" width="2.28125" style="0" bestFit="1" customWidth="1"/>
    <col min="6" max="6" width="35.140625" style="0" bestFit="1" customWidth="1"/>
    <col min="9" max="9" width="31.57421875" style="0" bestFit="1" customWidth="1"/>
  </cols>
  <sheetData>
    <row r="4" spans="1:9" ht="12.75">
      <c r="A4" s="5" t="s">
        <v>8</v>
      </c>
      <c r="B4" s="2">
        <v>1055</v>
      </c>
      <c r="C4" s="5" t="s">
        <v>9</v>
      </c>
      <c r="D4" s="2" t="s">
        <v>10</v>
      </c>
      <c r="E4" s="5">
        <v>5485085</v>
      </c>
      <c r="F4" s="5" t="s">
        <v>11</v>
      </c>
      <c r="G4" s="4">
        <v>765</v>
      </c>
      <c r="H4" s="4">
        <v>436099.81</v>
      </c>
      <c r="I4" s="5" t="s">
        <v>12</v>
      </c>
    </row>
    <row r="5" spans="1:9" ht="12.75">
      <c r="A5" s="5" t="s">
        <v>7</v>
      </c>
      <c r="B5" s="2">
        <v>1055</v>
      </c>
      <c r="C5" s="5" t="s">
        <v>13</v>
      </c>
      <c r="D5" s="2" t="s">
        <v>10</v>
      </c>
      <c r="E5" s="5">
        <v>13176349</v>
      </c>
      <c r="F5" s="5" t="s">
        <v>11</v>
      </c>
      <c r="G5" s="4">
        <v>438.38</v>
      </c>
      <c r="H5" s="4">
        <v>443466.86</v>
      </c>
      <c r="I5" s="5" t="s">
        <v>14</v>
      </c>
    </row>
    <row r="6" spans="1:9" ht="12.75">
      <c r="A6" s="5" t="s">
        <v>7</v>
      </c>
      <c r="B6" s="2">
        <v>1055</v>
      </c>
      <c r="C6" s="5" t="s">
        <v>15</v>
      </c>
      <c r="D6" s="2" t="s">
        <v>10</v>
      </c>
      <c r="E6" s="5">
        <v>13176336</v>
      </c>
      <c r="F6" s="5" t="s">
        <v>11</v>
      </c>
      <c r="G6" s="4">
        <v>6168</v>
      </c>
      <c r="H6" s="4">
        <v>443905.24</v>
      </c>
      <c r="I6" s="5" t="s">
        <v>16</v>
      </c>
    </row>
    <row r="7" spans="1:9" ht="12.75">
      <c r="A7" s="5" t="s">
        <v>17</v>
      </c>
      <c r="B7" s="2">
        <v>1055</v>
      </c>
      <c r="C7" s="5" t="s">
        <v>18</v>
      </c>
      <c r="D7" s="2" t="s">
        <v>10</v>
      </c>
      <c r="E7" s="5">
        <v>203023</v>
      </c>
      <c r="F7" s="5" t="s">
        <v>11</v>
      </c>
      <c r="G7" s="4">
        <v>1200</v>
      </c>
      <c r="H7" s="4">
        <v>472319.8</v>
      </c>
      <c r="I7" s="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Boada</dc:creator>
  <cp:keywords/>
  <dc:description/>
  <cp:lastModifiedBy>USUARIO</cp:lastModifiedBy>
  <cp:lastPrinted>2014-11-27T18:05:53Z</cp:lastPrinted>
  <dcterms:created xsi:type="dcterms:W3CDTF">2009-03-13T18:23:27Z</dcterms:created>
  <dcterms:modified xsi:type="dcterms:W3CDTF">2017-01-16T18:13:19Z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